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20" windowWidth="19440" windowHeight="13200" tabRatio="596" firstSheet="1" activeTab="1"/>
  </bookViews>
  <sheets>
    <sheet name="Duong" sheetId="1" state="hidden" r:id="rId1"/>
    <sheet name="1bvlv" sheetId="2" r:id="rId2"/>
    <sheet name="TH xem xét lại " sheetId="3" state="hidden" r:id="rId3"/>
    <sheet name="ĐV chưa nộp hồ sơ" sheetId="4" state="hidden" r:id="rId4"/>
    <sheet name="SUM" sheetId="5" state="hidden" r:id="rId5"/>
  </sheets>
  <definedNames>
    <definedName name="A2\" localSheetId="0">'Duong'!#REF!</definedName>
    <definedName name="A2\">#REF!</definedName>
    <definedName name="_xlnm.Print_Titles" localSheetId="0">'Duong'!$4:$5</definedName>
  </definedNames>
  <calcPr fullCalcOnLoad="1"/>
</workbook>
</file>

<file path=xl/sharedStrings.xml><?xml version="1.0" encoding="utf-8"?>
<sst xmlns="http://schemas.openxmlformats.org/spreadsheetml/2006/main" count="3833" uniqueCount="2220">
  <si>
    <t>04/12/1975</t>
  </si>
  <si>
    <t>4513/QĐ-UBND ngày 03/09/2014</t>
  </si>
  <si>
    <t>KH cây trồng</t>
  </si>
  <si>
    <t>ĐHNN</t>
  </si>
  <si>
    <t>Vũ Quang Tình</t>
  </si>
  <si>
    <t>10/11/1977</t>
  </si>
  <si>
    <t>CV phòng NV</t>
  </si>
  <si>
    <t>4518/QĐ-UBND ngày 03/09/2014</t>
  </si>
  <si>
    <t>Trần Trung Hiếu</t>
  </si>
  <si>
    <t>11/7/1977</t>
  </si>
  <si>
    <t>PP XDCQ</t>
  </si>
  <si>
    <t>6883/QĐ-UBND ngày 22/12/2014</t>
  </si>
  <si>
    <t>ĐH Thương Mại</t>
  </si>
  <si>
    <t>HP NCS 2012+2013</t>
  </si>
  <si>
    <t>20/8/1982</t>
  </si>
  <si>
    <t>122/QĐ-UBND ngày 27/1/2014</t>
  </si>
  <si>
    <t>Thú y</t>
  </si>
  <si>
    <t>25/3/1987</t>
  </si>
  <si>
    <t>125/QĐ-UBND ngày 07/01/2014</t>
  </si>
  <si>
    <t>25/10/1985</t>
  </si>
  <si>
    <t>124/QĐ-UBND ngày 07/01/2014</t>
  </si>
  <si>
    <t>KTNN</t>
  </si>
  <si>
    <t>123/QĐ-UBND ngày 07/01/2014</t>
  </si>
  <si>
    <t>ĐHKH XHNV</t>
  </si>
  <si>
    <t>13/3/1988</t>
  </si>
  <si>
    <t>121/QĐ-UBND ngày 07/01/2014</t>
  </si>
  <si>
    <t>ĐH Công nghiệp</t>
  </si>
  <si>
    <t>Cao Văn Chính</t>
  </si>
  <si>
    <t>Ngành KT</t>
  </si>
  <si>
    <t>Đặng Quang Hùng</t>
  </si>
  <si>
    <t>16/6/1977</t>
  </si>
  <si>
    <t>4614/QĐ-UBND ngày 06/09/2014</t>
  </si>
  <si>
    <t>Kỹ Thuật nhiệt</t>
  </si>
  <si>
    <t>Bách khoa HN</t>
  </si>
  <si>
    <t>Lê Thanh Hồng</t>
  </si>
  <si>
    <t>11/11/1975</t>
  </si>
  <si>
    <t>6878/QĐ-UBND ngày 22/12/2014</t>
  </si>
  <si>
    <t>Quản lý XD</t>
  </si>
  <si>
    <t>Hội liên hiệp phụ Nữ HN</t>
  </si>
  <si>
    <t>12/12/1976</t>
  </si>
  <si>
    <t>CV ban Tổ chức</t>
  </si>
  <si>
    <t>Viện NC PT KTXH HN</t>
  </si>
  <si>
    <t>Nguyễn Thanh Bình</t>
  </si>
  <si>
    <t>Tiếng Anh</t>
  </si>
  <si>
    <t>Học viện Chính trị - HCQG HCM</t>
  </si>
  <si>
    <t>Quản lý hành chính công</t>
  </si>
  <si>
    <t>Đã xong</t>
  </si>
  <si>
    <t>Sở Nội vụ Hà Nội:</t>
  </si>
  <si>
    <t>Lý luận và lịch sử NN&amp;PL</t>
  </si>
  <si>
    <t>Nguyễn Thị Liễu</t>
  </si>
  <si>
    <t>Quản lý 
Kinh tế</t>
  </si>
  <si>
    <t>Mức lương tối thiểu (đồng)</t>
  </si>
  <si>
    <t>Lưu Tiến Minh</t>
  </si>
  <si>
    <t>23/04/1970</t>
  </si>
  <si>
    <t>1313/QĐ-UBND, ngày 29/3/2012</t>
  </si>
  <si>
    <t>Hoàng Thị Thúy Hằng</t>
  </si>
  <si>
    <t>10/08/1975</t>
  </si>
  <si>
    <t>Phó phòng CCHC</t>
  </si>
  <si>
    <t>1314/QĐ-UBND, ngày 29/3/2012</t>
  </si>
  <si>
    <t>Đại học Luật HN</t>
  </si>
  <si>
    <t>Văn phòng UBND Thành phố</t>
  </si>
  <si>
    <t>Nguyễn Thanh Tùng</t>
  </si>
  <si>
    <t>Học viện 
Hành chính</t>
  </si>
  <si>
    <t>15/10/1979</t>
  </si>
  <si>
    <t>4615/QĐ-UBND, ngày 06/9/2014</t>
  </si>
  <si>
    <t>6880/QĐ-UBND ngày 22/12/2014</t>
  </si>
  <si>
    <t>Phan Thị Thu Trang</t>
  </si>
  <si>
    <t>28/10/1977</t>
  </si>
  <si>
    <t>Viên chức Trung tâm trợ giúp pháp lý</t>
  </si>
  <si>
    <t>6879/QĐ-UBND ngày 22/12/2014</t>
  </si>
  <si>
    <t>Phó phòng Tổ chức HC</t>
  </si>
  <si>
    <t>Đại học Thủy Lợi</t>
  </si>
  <si>
    <t>Bùi Đình Thái</t>
  </si>
  <si>
    <t>04/8/1978</t>
  </si>
  <si>
    <t>6885/QĐ-UBND ngày 22/12/2014</t>
  </si>
  <si>
    <t>Học viện Chính trị -
Bộ Quốc phòng</t>
  </si>
  <si>
    <t>PP CCHC</t>
  </si>
  <si>
    <t>6884/QĐ-UBND ngày 22/12/2014</t>
  </si>
  <si>
    <t>Quản lý XH</t>
  </si>
  <si>
    <t>Cao Quý Thành</t>
  </si>
  <si>
    <t>04/9/1977</t>
  </si>
  <si>
    <t>TP TCHC Ban TĐKT</t>
  </si>
  <si>
    <t>6882/QĐ-UBND ngày 22/12/2014</t>
  </si>
  <si>
    <t>Chính sách công</t>
  </si>
  <si>
    <t>Học viện 
Khoa học xã hội</t>
  </si>
  <si>
    <t>Phó phòng Pháp chế</t>
  </si>
  <si>
    <t>Phó Giám đốc Sở</t>
  </si>
  <si>
    <t xml:space="preserve">Trưởng phòng GDTX </t>
  </si>
  <si>
    <t xml:space="preserve">GV Trung tâm 
GDTX Hoài Đức </t>
  </si>
  <si>
    <t>Hiệu trưởng trường 
THPT Phan Huy Chú</t>
  </si>
  <si>
    <t>Viện KHGD 
Việt Nam</t>
  </si>
  <si>
    <t>Chưa bảo vệ, chưa nộp hóa đơn</t>
  </si>
  <si>
    <t>Tài chính - 
Ngân hàng</t>
  </si>
  <si>
    <t>132/QĐ-UBND ngày 07/01/2014</t>
  </si>
  <si>
    <t>Đại học Y HN</t>
  </si>
  <si>
    <t>TP Quản lý  HS,SV</t>
  </si>
  <si>
    <t>Y tế Cộng đồng</t>
  </si>
  <si>
    <t>HP kỳ 2+3+4</t>
  </si>
  <si>
    <t>Đinh Thị Thùy Dung</t>
  </si>
  <si>
    <t xml:space="preserve">Nguyễn Thị Lý </t>
  </si>
  <si>
    <t>13/4/1976</t>
  </si>
  <si>
    <t>Ngành Luật</t>
  </si>
  <si>
    <t>Bùi Thị Ngọc Lan</t>
  </si>
  <si>
    <t>Vũ Trường Giang</t>
  </si>
  <si>
    <t>Nguyễn Hồng Hải</t>
  </si>
  <si>
    <t>6598/QĐ-UBND ngày 17/12/2009</t>
  </si>
  <si>
    <t>Lâm nghiệp</t>
  </si>
  <si>
    <t>CHLB Đức</t>
  </si>
  <si>
    <t>Nguyễn Gia Hưng</t>
  </si>
  <si>
    <t>20/7/1975</t>
  </si>
  <si>
    <t>2012/QĐ-UBND ngày 15/4/2014</t>
  </si>
  <si>
    <t>Nguyễn Ngọc Tân</t>
  </si>
  <si>
    <t>9/12/1980</t>
  </si>
  <si>
    <t>2011/QĐ-UBND ngày 15/4/2014</t>
  </si>
  <si>
    <t xml:space="preserve">Quản lý KT </t>
  </si>
  <si>
    <t>Đào Vân Anh</t>
  </si>
  <si>
    <t>30/4/1979</t>
  </si>
  <si>
    <t>2013/QĐ-UBND ngày 15/4/2015</t>
  </si>
  <si>
    <t>NN và Pháp Luật</t>
  </si>
  <si>
    <t>2010/QĐ-UBND ngày 15/4/2016</t>
  </si>
  <si>
    <t>XD và chính quyền NN</t>
  </si>
  <si>
    <t>Nguyễn Văn Thọ</t>
  </si>
  <si>
    <t>709/QĐ-UBND ngày 24/1/2014</t>
  </si>
  <si>
    <t>Trần Việt Thắng</t>
  </si>
  <si>
    <t>Lịch sử</t>
  </si>
  <si>
    <t>Vương Quang Hợp</t>
  </si>
  <si>
    <t>05/02/1983</t>
  </si>
  <si>
    <t>711/QĐ-UBND ngày 24/1/2014</t>
  </si>
  <si>
    <t>Nguyễn Duy Quỳnh</t>
  </si>
  <si>
    <t>15/8/1984</t>
  </si>
  <si>
    <t>708/QĐ-UBND ngày 24/1/2014</t>
  </si>
  <si>
    <t>XD sân bay</t>
  </si>
  <si>
    <t>10/6/1980</t>
  </si>
  <si>
    <t>718/QĐ-UBND ngày 24/01/2014</t>
  </si>
  <si>
    <t>Quản lý KT</t>
  </si>
  <si>
    <t>Đinh Thanh Thủy</t>
  </si>
  <si>
    <t>15/5/1975</t>
  </si>
  <si>
    <t>1962/QĐ-UBND ngày 15/04/2014</t>
  </si>
  <si>
    <t>HP 2014-2013</t>
  </si>
  <si>
    <t>HP kỳ 2+3</t>
  </si>
  <si>
    <t>HP năm thứ nhất + thứ2</t>
  </si>
  <si>
    <t>Đặng Anh Linh</t>
  </si>
  <si>
    <t>Thanh tra Sở NN</t>
  </si>
  <si>
    <t>4998/QĐ-UBND ngày 23/9/2014</t>
  </si>
  <si>
    <t>ĐH Nông nghiệp HN</t>
  </si>
  <si>
    <t>Nguyễn Tiến Hưng</t>
  </si>
  <si>
    <t>04/01/1976</t>
  </si>
  <si>
    <t>2744/QĐ-UBND, ngày 23/5/2014</t>
  </si>
  <si>
    <t>Chính Sách</t>
  </si>
  <si>
    <t>Hoàng Ngọc Giang</t>
  </si>
  <si>
    <t xml:space="preserve">PGĐ VP đăng kiểm </t>
  </si>
  <si>
    <t>2751/QĐ-UBND, ngày 23/5/2014</t>
  </si>
  <si>
    <t>QL Đất đai</t>
  </si>
  <si>
    <t>Đại học Thái Nguyên</t>
  </si>
  <si>
    <t>Nguyễn Thị Hằng Nga</t>
  </si>
  <si>
    <t>22/3/1975</t>
  </si>
  <si>
    <t>1961/QĐ-UBND ngày 15/4/2014</t>
  </si>
  <si>
    <t>QL Giáo dục</t>
  </si>
  <si>
    <t>Đại học Quốc gia HN</t>
  </si>
  <si>
    <t>Phùng Thị Thu Hương</t>
  </si>
  <si>
    <t>08/10/1981</t>
  </si>
  <si>
    <t>719/QĐ-UBND ngày 24/01/2014</t>
  </si>
  <si>
    <t>26/7/1987</t>
  </si>
  <si>
    <t>717/QĐ-UBND ngày 24/01/2015</t>
  </si>
  <si>
    <t>HV Hành chính</t>
  </si>
  <si>
    <t>01/10/1970</t>
  </si>
  <si>
    <t xml:space="preserve">Tưởng khoa tâm lý </t>
  </si>
  <si>
    <t>Nguyễn Đức Minh</t>
  </si>
  <si>
    <t>21/10/1978</t>
  </si>
  <si>
    <t>PTP tổ chức HC</t>
  </si>
  <si>
    <t>4625/QĐ-UBND ngày 06/9/2014</t>
  </si>
  <si>
    <t>ĐH Lương Thế Vinh</t>
  </si>
  <si>
    <t>Đỗ Phương Hà</t>
  </si>
  <si>
    <t>106/QĐ-UBND, ngày 07/1/2014</t>
  </si>
  <si>
    <t>Trần Ngọc Hoàn</t>
  </si>
  <si>
    <t>ĐH NN Hà Nội</t>
  </si>
  <si>
    <t>Nguyễn Thị Thanh Hà</t>
  </si>
  <si>
    <t>2745/QĐ-UBND ngày 23/5/2014</t>
  </si>
  <si>
    <t>Lê Hữu Thung</t>
  </si>
  <si>
    <t>04/01/1980</t>
  </si>
  <si>
    <t>Viên chức BQL GPMB</t>
  </si>
  <si>
    <t>4512/QĐ-UBND ngày 03/09/2014</t>
  </si>
  <si>
    <t>Bùi Thu Hường</t>
  </si>
  <si>
    <t>Viên chức TT Y tế CC</t>
  </si>
  <si>
    <t>1960/QĐ-UBND ngày 15/04/2014</t>
  </si>
  <si>
    <t>Y cộng đồng</t>
  </si>
  <si>
    <t>Hồ Quang Thắng</t>
  </si>
  <si>
    <t>06/11/1981</t>
  </si>
  <si>
    <t>2018/QĐ-UBND ngày 15/04/2014</t>
  </si>
  <si>
    <t>08/04/1980</t>
  </si>
  <si>
    <t>4519/QĐ-UBND ngày 03/09/2014</t>
  </si>
  <si>
    <t>HVCT - HC QG</t>
  </si>
  <si>
    <t>01/12/1981</t>
  </si>
  <si>
    <t>4616/QĐ-UBND ngày 06/09/2014</t>
  </si>
  <si>
    <t xml:space="preserve">QL công </t>
  </si>
  <si>
    <t>HVHC</t>
  </si>
  <si>
    <t>Lâm Ngọc Dương</t>
  </si>
  <si>
    <t>16/06/1978</t>
  </si>
  <si>
    <t>4514/QĐ-UBND ngày 03/09/2014</t>
  </si>
  <si>
    <t xml:space="preserve">Chính sách công </t>
  </si>
  <si>
    <t>HV KHXH</t>
  </si>
  <si>
    <t>HP năm 2014</t>
  </si>
  <si>
    <t>Hoàng Văn Khuê</t>
  </si>
  <si>
    <t>26/5/1981</t>
  </si>
  <si>
    <t>KP hỗ trợ theo QĐ số 91/2009/QĐ-UBND và QĐ số 01/2014/QĐ-UBND của UBND Thành phố (đồng)</t>
  </si>
  <si>
    <t>Sở Nông nghiệp &amp; PTNT</t>
  </si>
  <si>
    <t>Quản lý Ktế</t>
  </si>
  <si>
    <t>Trường Cao đẳng Y tế HN</t>
  </si>
  <si>
    <t>Trường Cao đẳng điện tử điện lạnh Hà Nội</t>
  </si>
  <si>
    <t>Dược học</t>
  </si>
  <si>
    <t>Triết học</t>
  </si>
  <si>
    <t>Trường CĐ Y tế Hà Đông</t>
  </si>
  <si>
    <t>Nguyễn Thúy Nga</t>
  </si>
  <si>
    <t>Nguyễn Thị Thu Hương</t>
  </si>
  <si>
    <t>Nhi khoa</t>
  </si>
  <si>
    <t>Tài chính - Ngân hàng</t>
  </si>
  <si>
    <t>Nguyễn Thị Thu Hoài</t>
  </si>
  <si>
    <t>Đỗ Văn Tuấn</t>
  </si>
  <si>
    <t>Tr. ĐTCB Lê Hồng Phong</t>
  </si>
  <si>
    <t>Nguyễn Thị Thu</t>
  </si>
  <si>
    <t>Nguyễn Thị Thanh Thúy</t>
  </si>
  <si>
    <t>Lê Hồng Hạnh</t>
  </si>
  <si>
    <t>Hoàng Quốc Việt</t>
  </si>
  <si>
    <t>23/8/1977</t>
  </si>
  <si>
    <t>PP Dư luận XH- Ban Tuyên giáo TU</t>
  </si>
  <si>
    <t>707/QĐ-UBND ngày 24/01/2014</t>
  </si>
  <si>
    <t xml:space="preserve">Quản lý công </t>
  </si>
  <si>
    <t>Đặng Thị Vân Nga</t>
  </si>
  <si>
    <t>17/02/1980</t>
  </si>
  <si>
    <t>5000/QĐ-UBND ngày 29/09/2014</t>
  </si>
  <si>
    <t>Kế toán tài chính</t>
  </si>
  <si>
    <t>Nguyễn Thảo Ninh</t>
  </si>
  <si>
    <t>Vũ Thị Minh Hiền</t>
  </si>
  <si>
    <t>Đinh Quốc Khánh</t>
  </si>
  <si>
    <t xml:space="preserve">HP </t>
  </si>
  <si>
    <t>12/5/1970</t>
  </si>
  <si>
    <t>GĐ Văn phòng ĐK
quyền sử dụng đất</t>
  </si>
  <si>
    <t>5907/QĐ-UBND ngày 30/9/2013</t>
  </si>
  <si>
    <t>Sinh lý bệnh</t>
  </si>
  <si>
    <t>Nguyễn Thị Bích Ngọc</t>
  </si>
  <si>
    <t>16/6/1979</t>
  </si>
  <si>
    <t>PGĐ Văn phòng ĐK quyền sử dụng đất</t>
  </si>
  <si>
    <t>890/QĐ-UBND ngày 06/02/2013</t>
  </si>
  <si>
    <t>Quản lý đất đai</t>
  </si>
  <si>
    <t>Phó phòng Kinh tế</t>
  </si>
  <si>
    <t>Học viên CT-HC 
khu vực I</t>
  </si>
  <si>
    <t>08/3/1975</t>
  </si>
  <si>
    <t>Phó phòng TC-KH</t>
  </si>
  <si>
    <t>889/QĐ-UBND ngày 06/02/2013</t>
  </si>
  <si>
    <t>Huyện Thạch Thất</t>
  </si>
  <si>
    <t>Ban Quản lý khu CN&amp;CX</t>
  </si>
  <si>
    <t>ĐH Kinh tế - ĐH Quốc gia HN</t>
  </si>
  <si>
    <t>ĐH Sư phạm HN</t>
  </si>
  <si>
    <t>ĐH Ngoại ngữ - ĐH Quốc gia HN</t>
  </si>
  <si>
    <t>ĐH Thương mại</t>
  </si>
  <si>
    <t>ĐH Công nghệ - ĐH Quốc gia HN</t>
  </si>
  <si>
    <t>ĐH TDTT 
Bắc Ninh</t>
  </si>
  <si>
    <t>Quỹ Phát triển đất TP</t>
  </si>
  <si>
    <t>Lê Văn Bính</t>
  </si>
  <si>
    <t>20/6/1976</t>
  </si>
  <si>
    <t>Phó Giám đốc</t>
  </si>
  <si>
    <t>878/QĐ-UBND ngày 06/2/2013</t>
  </si>
  <si>
    <t>Nguyễn Văn Thường</t>
  </si>
  <si>
    <t>28/9/1973</t>
  </si>
  <si>
    <t>3795/QĐ-UBND ngày 20/6/2013</t>
  </si>
  <si>
    <t>QLKT</t>
  </si>
  <si>
    <t>14/5/1977</t>
  </si>
  <si>
    <t>Trưởng bộ môn 
chuyển mạch</t>
  </si>
  <si>
    <t>5975/QĐ-UBND ngày 20/12/2012</t>
  </si>
  <si>
    <t>Kỹ thuật 
điện tử</t>
  </si>
  <si>
    <t>Học viện Kỹ thuật quân sự</t>
  </si>
  <si>
    <t>Di truyền học</t>
  </si>
  <si>
    <t>07/5/1980</t>
  </si>
  <si>
    <t>5972/QĐ-UBND ngày 20/12/2013</t>
  </si>
  <si>
    <t>Hóa hữu cơ</t>
  </si>
  <si>
    <t>Viện Hóa học</t>
  </si>
  <si>
    <t>Đinh Thị Quỳnh Anh</t>
  </si>
  <si>
    <t>30/3/1988</t>
  </si>
  <si>
    <t>5971/QĐ-UBND ngày 20/12/2013</t>
  </si>
  <si>
    <t>Vũ Mạnh Nam</t>
  </si>
  <si>
    <t>03/4/1976</t>
  </si>
  <si>
    <t>Phó phòng
 Tổ chức phong trào</t>
  </si>
  <si>
    <t>5960/QĐ-UBND ngày 20/12/2012</t>
  </si>
  <si>
    <t>Viện Nghiên cứu QLKT trung ương</t>
  </si>
  <si>
    <t>Trần Văn Tùng</t>
  </si>
  <si>
    <t>15/9/1987</t>
  </si>
  <si>
    <t>Trương Quốc Đông</t>
  </si>
  <si>
    <t>16/7/1982</t>
  </si>
  <si>
    <t>5968/QĐ-UBND ngày 20/12/2012</t>
  </si>
  <si>
    <t>30/4/1985</t>
  </si>
  <si>
    <t>02/01/1980</t>
  </si>
  <si>
    <t>Chuyên viên 
VP HĐND - UBND</t>
  </si>
  <si>
    <t>5961/QĐ-UBND ngày 20/12/2012</t>
  </si>
  <si>
    <t>Kinh tế thế giới và QHKTQT</t>
  </si>
  <si>
    <t>Thanh tra viên</t>
  </si>
  <si>
    <t>ĐH Y tế công cộng</t>
  </si>
  <si>
    <t>04/01/1983</t>
  </si>
  <si>
    <t>HP 2012 + 2013</t>
  </si>
  <si>
    <t>111/QĐ-UBND ngày 07/01/2014</t>
  </si>
  <si>
    <t>HP cả khóa</t>
  </si>
  <si>
    <t>Quận Tây Hồ</t>
  </si>
  <si>
    <t>Lê Quốc Thịnh</t>
  </si>
  <si>
    <t>10/5/1976</t>
  </si>
  <si>
    <t>Phó trưởng BTC QU</t>
  </si>
  <si>
    <t>Nguyễn Minh Thanh</t>
  </si>
  <si>
    <t>12/8/1974</t>
  </si>
  <si>
    <t>5955/QĐ-UBND, ngày 20/12/2012</t>
  </si>
  <si>
    <t>Huyện Ứng Hòa</t>
  </si>
  <si>
    <t>Phó phòng TNMT</t>
  </si>
  <si>
    <t>HP kỳ 3+4</t>
  </si>
  <si>
    <t>Răng hàm mặt</t>
  </si>
  <si>
    <t>Nguyễn Thị Hòa</t>
  </si>
  <si>
    <t>09/11/1980</t>
  </si>
  <si>
    <t>894/QĐ-UBND ngày 06/02/2013</t>
  </si>
  <si>
    <t>Giảng viên</t>
  </si>
  <si>
    <t>09/9/1977</t>
  </si>
  <si>
    <t>Phó phòng Nội vụ</t>
  </si>
  <si>
    <t>Quản lý GD</t>
  </si>
  <si>
    <t>Luật HC</t>
  </si>
  <si>
    <t>Học viện Tài chính</t>
  </si>
  <si>
    <t>12/6/1979</t>
  </si>
  <si>
    <t>GV khoa Dân vận</t>
  </si>
  <si>
    <t>2750/QĐ-UBND ngày 23/5/2014</t>
  </si>
  <si>
    <t>Ban Tuyên giáo Thành ủy</t>
  </si>
  <si>
    <t>Chuyên viên Phòng 
QL Thương mại</t>
  </si>
  <si>
    <t>Liên minh Hợp tác xã</t>
  </si>
  <si>
    <t>Quận Cầu Giấy</t>
  </si>
  <si>
    <t>Giáo dục
thể chất</t>
  </si>
  <si>
    <t>TỔNG CỘNG</t>
  </si>
  <si>
    <t>Đại học Kinh tế 
quốc dân</t>
  </si>
  <si>
    <t>Kinh tế</t>
  </si>
  <si>
    <t>HP kỳ 1</t>
  </si>
  <si>
    <t>HP kỳ 1 + 2</t>
  </si>
  <si>
    <t>Sản phụ khoa</t>
  </si>
  <si>
    <t>STT</t>
  </si>
  <si>
    <t>Đơn vị - Học viên</t>
  </si>
  <si>
    <t>Tổng số</t>
  </si>
  <si>
    <t>Hỗ trợ tiền học phí</t>
  </si>
  <si>
    <t>Ghi chú</t>
  </si>
  <si>
    <t>Ngày tháng năm sinh</t>
  </si>
  <si>
    <t>Chuyên ngành</t>
  </si>
  <si>
    <t>Tiến sĩ</t>
  </si>
  <si>
    <t>Lê Trung Tín</t>
  </si>
  <si>
    <t>01/5/1976</t>
  </si>
  <si>
    <t>2406/QĐ-UBND, ngày 01/6/2012</t>
  </si>
  <si>
    <t>Sở Giáo dục và Đào tạo</t>
  </si>
  <si>
    <t>Thạc sĩ</t>
  </si>
  <si>
    <t>10/01/1977</t>
  </si>
  <si>
    <t>Phó VP HĐND-UBND</t>
  </si>
  <si>
    <t>3117/QĐ-UBND ngày 14/5/2012</t>
  </si>
  <si>
    <t>Quản lý Kinh tế</t>
  </si>
  <si>
    <t>Đoàn Thị Kim Hường</t>
  </si>
  <si>
    <t>18/3/1978</t>
  </si>
  <si>
    <t>3122/QĐ-UBND ngày 14/5/2013</t>
  </si>
  <si>
    <t>Du lịch</t>
  </si>
  <si>
    <t>ĐH KHXH và NV 
ĐH Quốc gia HN</t>
  </si>
  <si>
    <t>Mới</t>
  </si>
  <si>
    <t>Quận Hà Đông:</t>
  </si>
  <si>
    <t>Phạm Đức Hòa</t>
  </si>
  <si>
    <t>10/9/1977</t>
  </si>
  <si>
    <t>Trường phòng VHTT</t>
  </si>
  <si>
    <t>3088/QĐ-UBND ngày 14/5/2013</t>
  </si>
  <si>
    <t>Học viên Chính trị - HCQG HCM</t>
  </si>
  <si>
    <t>Vũ Đức Quân</t>
  </si>
  <si>
    <t>11/12/1981</t>
  </si>
  <si>
    <t>3086/QĐ-UBND ngày 14/5/2013</t>
  </si>
  <si>
    <t>Văn hóa học</t>
  </si>
  <si>
    <t>20/8/1981</t>
  </si>
  <si>
    <t>Chuyên viên 
Phòng TNMT</t>
  </si>
  <si>
    <t>3077/QĐ-UBND ngày 14/5/2013</t>
  </si>
  <si>
    <t>Khoa học 
môi trường</t>
  </si>
  <si>
    <t>ĐH KHTN - ĐH Quốc gia HN</t>
  </si>
  <si>
    <t>08/02/1989</t>
  </si>
  <si>
    <t>Chuyên viên phòng 
Ứng dụng CNTT</t>
  </si>
  <si>
    <t>3078/QĐ-UBND ngày 14/5/2013</t>
  </si>
  <si>
    <t>Nguyễn Thị Thơ Mây</t>
  </si>
  <si>
    <t>CNTT</t>
  </si>
  <si>
    <t>Quản lý giáo dục</t>
  </si>
  <si>
    <t>ĐH Sư phạm HN2</t>
  </si>
  <si>
    <t>19/01/1976</t>
  </si>
  <si>
    <t>CV Ban QLDA</t>
  </si>
  <si>
    <t>120/QĐ-UBND ngày 07/01/2014</t>
  </si>
  <si>
    <t>Xây dựng công trình đường bộ</t>
  </si>
  <si>
    <t>Nguyễn Thanh Huyền</t>
  </si>
  <si>
    <t>CV phòng Văn hóa TT</t>
  </si>
  <si>
    <t>Huyện Sóc Sơn:</t>
  </si>
  <si>
    <t xml:space="preserve">Phó trưởng Ban TCHU </t>
  </si>
  <si>
    <t>Luật</t>
  </si>
  <si>
    <t>Lê Pháp Anh</t>
  </si>
  <si>
    <t>08/04/1981</t>
  </si>
  <si>
    <t>5899/QĐ-UBND, ngày 30/9/2013</t>
  </si>
  <si>
    <t>Quản lý đô thị</t>
  </si>
  <si>
    <t>ĐH Kiến trúc HN</t>
  </si>
  <si>
    <t>Trần Thúy Phương</t>
  </si>
  <si>
    <t>24/9/1983</t>
  </si>
  <si>
    <t>Chuyên viên TC</t>
  </si>
  <si>
    <t>5894/QĐ-UBND ngày 30/9/2013</t>
  </si>
  <si>
    <t>Vũ Thị Thanh Thủy</t>
  </si>
  <si>
    <t>19/02/1976</t>
  </si>
  <si>
    <t>5895/QĐ-UBND ngày 30/9/2013</t>
  </si>
  <si>
    <t>Kế toán, kiểm toán và ptích</t>
  </si>
  <si>
    <t>Chu Thị Quỳnh Lan</t>
  </si>
  <si>
    <t>03/11/1983</t>
  </si>
  <si>
    <t>5911/QĐ-UBND ngày 30/9/2013</t>
  </si>
  <si>
    <t>Nguyễn Thị Thu Huyền</t>
  </si>
  <si>
    <t>12/02/1981</t>
  </si>
  <si>
    <t>Trung tâm DSKHHGĐ</t>
  </si>
  <si>
    <t>5909/QĐ-UBND  ngày 30/9/2013</t>
  </si>
  <si>
    <t>Lê Thị Thu Hà</t>
  </si>
  <si>
    <t>03/10/1975</t>
  </si>
  <si>
    <t>Chuyên viên 
Phòng KT-TV</t>
  </si>
  <si>
    <t>5900/QĐ-UBND ngày 30/9/2013</t>
  </si>
  <si>
    <t>Nguyễn Văn Chính</t>
  </si>
  <si>
    <t>13/3/1975</t>
  </si>
  <si>
    <t>5897/QĐ-UBND ngày 30/9/2013</t>
  </si>
  <si>
    <t>ĐH Sư phạm Kỹ thuật Hưng Yên</t>
  </si>
  <si>
    <t>Bùi Thị Hải Yến</t>
  </si>
  <si>
    <t>17/3/1984</t>
  </si>
  <si>
    <t>5901/QĐ-UBND ngày 30/9/2013</t>
  </si>
  <si>
    <t>Hà Thanh Huyền</t>
  </si>
  <si>
    <t>03/7/1983</t>
  </si>
  <si>
    <t>Chuyên viên Phòng 
Kế hoạch VHXH</t>
  </si>
  <si>
    <t>5910/QĐ-UBND ngày 30/9/2013</t>
  </si>
  <si>
    <t>Trường Cao đẳng Sư phạm Hà Tây</t>
  </si>
  <si>
    <t>Nguyễn Thị Thu Hằng</t>
  </si>
  <si>
    <t>14/8/1984</t>
  </si>
  <si>
    <t>5902/QĐ-UBND ngày 30/9/2013</t>
  </si>
  <si>
    <t>Vật lý địa cầu</t>
  </si>
  <si>
    <t>ĐH Khoa học 
Tự nhiên</t>
  </si>
  <si>
    <t>Đặng Thị Hường</t>
  </si>
  <si>
    <t>14/01/1976</t>
  </si>
  <si>
    <t>5903/QĐ-UBND ngày 30/9/2013</t>
  </si>
  <si>
    <t>Công nghệ 
thực phẩm</t>
  </si>
  <si>
    <t>Ngô Duy Sạ</t>
  </si>
  <si>
    <t>25/4/1979</t>
  </si>
  <si>
    <t>5904/QĐ-UBND ngày 30/9/2013</t>
  </si>
  <si>
    <t>Công nghệ 
sinh học</t>
  </si>
  <si>
    <t>Nguyễn  Hồng Hà</t>
  </si>
  <si>
    <t>28/01/1977</t>
  </si>
  <si>
    <t>5905/QĐ-UBND ngày 30/9/2013</t>
  </si>
  <si>
    <t>Luật HP và 
Luật HC</t>
  </si>
  <si>
    <t>Lương Ngọc Linh</t>
  </si>
  <si>
    <t>14/10/1979</t>
  </si>
  <si>
    <t>5906/QĐ-UBND ngày 30/9/2013</t>
  </si>
  <si>
    <t>Ngô Thu Hằng</t>
  </si>
  <si>
    <t>09/9/1986</t>
  </si>
  <si>
    <t xml:space="preserve">CV Thanh tra huyện </t>
  </si>
  <si>
    <t>Đào Xuân Trường</t>
  </si>
  <si>
    <t>Công nghệ 
thông tin</t>
  </si>
  <si>
    <t>Hệ thống 
thông tin</t>
  </si>
  <si>
    <t>Đỗ Thị Liên Vân</t>
  </si>
  <si>
    <t>30/01/1977</t>
  </si>
  <si>
    <t>ĐH KHXH và NV ĐH Quốc gia</t>
  </si>
  <si>
    <t>23/10/1983</t>
  </si>
  <si>
    <t>30/12/1976</t>
  </si>
  <si>
    <t>Quản lý công</t>
  </si>
  <si>
    <t>Hoàng Thị Mai</t>
  </si>
  <si>
    <t>31/10/1976</t>
  </si>
  <si>
    <t>Giảng viên 
Khoa CNTT</t>
  </si>
  <si>
    <t>4901/QĐ-UBND ngày 29/10/2012</t>
  </si>
  <si>
    <t>Viện Khoa học và Công nghệ quân sự</t>
  </si>
  <si>
    <t>Nguyễn Thị Hồng Thơ</t>
  </si>
  <si>
    <t>26/03/1983</t>
  </si>
  <si>
    <t>Giảng viên 
Khoa KHCB</t>
  </si>
  <si>
    <t>4899/QĐ-UBND ngày 29/10/2012</t>
  </si>
  <si>
    <t xml:space="preserve"> Ngôn ngữ Anh</t>
  </si>
  <si>
    <t>ĐG Ngoại ngữ - ĐHQG HN</t>
  </si>
  <si>
    <t>Nguyễn Thị Thanh</t>
  </si>
  <si>
    <t>19/10/1974</t>
  </si>
  <si>
    <t>4897/QĐ-UBND ngày 29/10/2012</t>
  </si>
  <si>
    <t>Kinh tế đầu tư</t>
  </si>
  <si>
    <t>Đặng Quỳnh Anh</t>
  </si>
  <si>
    <t>11/12/1985</t>
  </si>
  <si>
    <t>4900/QĐ-UBND ngày 29/10/2012</t>
  </si>
  <si>
    <t>ĐH Công nghệ - ĐHQG HN</t>
  </si>
  <si>
    <t>Kinh tế 
chính trị</t>
  </si>
  <si>
    <t>Sở Tư pháp</t>
  </si>
  <si>
    <t>Luật học</t>
  </si>
  <si>
    <t>Nguyễn Chí Tùng</t>
  </si>
  <si>
    <t>02/9/1988</t>
  </si>
  <si>
    <t>Sở Y tế Hà Nội</t>
  </si>
  <si>
    <t>Nguyễn Văn Hanh</t>
  </si>
  <si>
    <t>Sở Công thương</t>
  </si>
  <si>
    <t>Sở Thông tin truyền thông</t>
  </si>
  <si>
    <t>Nguyễn Văn Độ</t>
  </si>
  <si>
    <t>Giám đốc Trung tâm</t>
  </si>
  <si>
    <t>918/QĐ-UBND, ngày 24/02/2015</t>
  </si>
  <si>
    <t>Vệ sinh XH học và tổ chức y tế</t>
  </si>
  <si>
    <t>Trường Cao đẳng cộng đồng Hà Nội</t>
  </si>
  <si>
    <t>Hoàng Thu Hằng</t>
  </si>
  <si>
    <t>12/8/1978</t>
  </si>
  <si>
    <t>Giảng viên
Khoa Tự nhiên</t>
  </si>
  <si>
    <t>Giảng viên 
Khoa Mầm non</t>
  </si>
  <si>
    <t>919/QĐ-UBND ngày 24/02/2015</t>
  </si>
  <si>
    <t>Mỹ thuật</t>
  </si>
  <si>
    <t>ĐH Mỹ thuật VN</t>
  </si>
  <si>
    <t>Sở Khoa học và công nghệ</t>
  </si>
  <si>
    <t>Nguyễn Thị Mai</t>
  </si>
  <si>
    <t>920/QĐ-UBND ngày 24/02/2015</t>
  </si>
  <si>
    <t>Học viện Chính trị 
Khu vực 1</t>
  </si>
  <si>
    <t>Nguyễn Thị Huyền</t>
  </si>
  <si>
    <t>28/5/1980</t>
  </si>
  <si>
    <t>922/QĐ-UBND ngày 24/02/2015</t>
  </si>
  <si>
    <t>Phạm Thị Thu Hiền</t>
  </si>
  <si>
    <t>24/8/1983</t>
  </si>
  <si>
    <t>923/QĐ-UBND ngày 24/02/2015</t>
  </si>
  <si>
    <t>Học viện Báo chí và tuyên truyền</t>
  </si>
  <si>
    <t xml:space="preserve"> Trường Cao đẳng Nghề công nghệ cao</t>
  </si>
  <si>
    <t>Khổng Hữu Lực</t>
  </si>
  <si>
    <t>06/10/1977</t>
  </si>
  <si>
    <t>Giám đốc TT Khảo thí và đảm bảo chất lượng</t>
  </si>
  <si>
    <t>924/QĐ-UBND ngày 24/02/2015</t>
  </si>
  <si>
    <t>Nguyễn Ngọc Tuân</t>
  </si>
  <si>
    <t>09/9/1984</t>
  </si>
  <si>
    <t>925/QĐ-UBND ngày 24/02/2015</t>
  </si>
  <si>
    <t>Đại học
Giao thông vận tải</t>
  </si>
  <si>
    <t>Võ Minh Tuấn</t>
  </si>
  <si>
    <t>28/02/1977</t>
  </si>
  <si>
    <t>926/QĐ-UBND ngày 24/02/2015</t>
  </si>
  <si>
    <t>Phương pháp Toán sơ cấp</t>
  </si>
  <si>
    <t>Đại học
Khoa học tự nhiên</t>
  </si>
  <si>
    <t>Trần Thị Thùy Anh</t>
  </si>
  <si>
    <t>22/8/1983</t>
  </si>
  <si>
    <t>927/QĐ-UBND ngày 24/02/2015</t>
  </si>
  <si>
    <t>ĐH KHXH&amp;NV</t>
  </si>
  <si>
    <t>Nguyễn Thị Vân Anh</t>
  </si>
  <si>
    <t>26/7/1981</t>
  </si>
  <si>
    <t>928/QĐ-UBND ngày 24/02/2015</t>
  </si>
  <si>
    <t>Nguyễn Xuân Việt</t>
  </si>
  <si>
    <t>16/02/1977</t>
  </si>
  <si>
    <t>929/QĐ-UBND ngày 24/02/2015</t>
  </si>
  <si>
    <t>ĐH  Điện lực</t>
  </si>
  <si>
    <t>PP giảng dạy 
môn Toán</t>
  </si>
  <si>
    <t>Giáo viên V trường 
THCS Đông Dư</t>
  </si>
  <si>
    <t>Đại học Giáo dục</t>
  </si>
  <si>
    <t>Huyện Thanh Oai</t>
  </si>
  <si>
    <t>Trần Văn Nam</t>
  </si>
  <si>
    <t>07/3/1977</t>
  </si>
  <si>
    <t>PGĐ Trung tâm BDCT</t>
  </si>
  <si>
    <t>932/QĐ-UBND ngày 24/02/2015</t>
  </si>
  <si>
    <t>22/11/1980</t>
  </si>
  <si>
    <t>199/QĐ-UBND ngày 09/01/2014</t>
  </si>
  <si>
    <t>Nguyễn Hữu Vĩnh</t>
  </si>
  <si>
    <t>18/7/1979</t>
  </si>
  <si>
    <t>Phó Chánh Văn phòng Huyện ủy</t>
  </si>
  <si>
    <t>202/QĐ-UBND ngày 09/01/2014</t>
  </si>
  <si>
    <t>Trường Cao đẳng Nghệ thuật Hà Nội</t>
  </si>
  <si>
    <t>Trưởng phòng TCCB</t>
  </si>
  <si>
    <t>Dinh dưỡng</t>
  </si>
  <si>
    <t>Trưởng phòng Đào tạo</t>
  </si>
  <si>
    <t>03/02/1974</t>
  </si>
  <si>
    <t>HV Chính trị - 
HCQG</t>
  </si>
  <si>
    <t xml:space="preserve">5003/QĐ-UBND ngày 29/9/2014 </t>
  </si>
  <si>
    <t>Công nghệ
 dược phẩm</t>
  </si>
  <si>
    <t xml:space="preserve">GV bộ môn Nhi </t>
  </si>
  <si>
    <t xml:space="preserve">Trưởng bộ môn Dược </t>
  </si>
  <si>
    <t xml:space="preserve">GV bộ môn Điều dưỡng </t>
  </si>
  <si>
    <t>Phó khoa Nhiệt lạnh</t>
  </si>
  <si>
    <t>Nguyễn Ngọc Phúc</t>
  </si>
  <si>
    <t>09/8/1980</t>
  </si>
  <si>
    <t>GV trường THCS 
Lê Quý Đôn</t>
  </si>
  <si>
    <t>135/QĐ-UBND ngày 07/01/2014</t>
  </si>
  <si>
    <t>Nguyễn Thị Minh Nguyệt</t>
  </si>
  <si>
    <t>06/5/1976</t>
  </si>
  <si>
    <t>134/QĐ-UBND ngày 07/01/2014</t>
  </si>
  <si>
    <t>Bùi Văn Tuấn</t>
  </si>
  <si>
    <t>Chuyên viên Phòng ĐT</t>
  </si>
  <si>
    <t>126/QĐ-UBND ngày 07/01/2014</t>
  </si>
  <si>
    <t>Học viện Chính trị -
 Bộ Quốc phòng</t>
  </si>
  <si>
    <t>Đỗ Thị Kim Đức</t>
  </si>
  <si>
    <t>06/3/1981</t>
  </si>
  <si>
    <t>Chuyên viên Phòng TCKH</t>
  </si>
  <si>
    <t>119/QĐ-UBND ngày 07/01/2014</t>
  </si>
  <si>
    <t>Dương Tuấn Anh</t>
  </si>
  <si>
    <t>23/01/1977</t>
  </si>
  <si>
    <t>Phó phòng Tư pháp</t>
  </si>
  <si>
    <t>118/QĐ-UBND ngày 07/01/2014</t>
  </si>
  <si>
    <t>Học viêện KHXH</t>
  </si>
  <si>
    <t>Vũ Ngọc Dự</t>
  </si>
  <si>
    <t>13/12/1975</t>
  </si>
  <si>
    <t>Hiệu trưởng trường
Mầm non Mai Dịch</t>
  </si>
  <si>
    <t>117/QĐ-UBND ngày 07/01/2014</t>
  </si>
  <si>
    <t>29/12/1975</t>
  </si>
  <si>
    <t>Phó trưởng khoa KTCT</t>
  </si>
  <si>
    <t>108/QĐ-UBND ngày 07/01/2014</t>
  </si>
  <si>
    <t>22/02/1983</t>
  </si>
  <si>
    <t>107/QĐ-UBND ngày 07/01/2014</t>
  </si>
  <si>
    <t>Hoàng Quốc Cường</t>
  </si>
  <si>
    <t>07/01/1986</t>
  </si>
  <si>
    <t>CV Phòng KH-TH</t>
  </si>
  <si>
    <t>104/QĐ-UBND ngày 07/01/2014</t>
  </si>
  <si>
    <t>ĐH Kinh tế - ĐHQG</t>
  </si>
  <si>
    <t>Vũ Thị Thủy</t>
  </si>
  <si>
    <t>23/5/1976</t>
  </si>
  <si>
    <t>Phó Chủ tịch UBND 
phường Nghĩa Tân</t>
  </si>
  <si>
    <t>101/QĐ-UBND ngày 07/01/2014</t>
  </si>
  <si>
    <t>Nguyễn Trần Quang</t>
  </si>
  <si>
    <t>11/4/1977</t>
  </si>
  <si>
    <t>PGĐ Trung tâm XTTM</t>
  </si>
  <si>
    <t>TC- Ngân hàng</t>
  </si>
  <si>
    <t>99/QĐ-UBND ngày 07/01/2014</t>
  </si>
  <si>
    <t>Nguyễn Hữu Nam</t>
  </si>
  <si>
    <t>03/7/1982</t>
  </si>
  <si>
    <t>4522/QĐ-UBND ngày 03/9/2014</t>
  </si>
  <si>
    <t>Ngô Thị Hồng Hạnh</t>
  </si>
  <si>
    <t>22/8/1981</t>
  </si>
  <si>
    <t>4523/QĐ-UBND ngày 03/9/2014</t>
  </si>
  <si>
    <t>Nguyễn Hương Giang</t>
  </si>
  <si>
    <t>29/9/1976</t>
  </si>
  <si>
    <t>6862/QĐ-UBND ngày 22/12/2014</t>
  </si>
  <si>
    <t>Nguyễn Huyền Châu</t>
  </si>
  <si>
    <t>01/6/1976</t>
  </si>
  <si>
    <t>6861/QĐ-UBND ngày 22/12/2014</t>
  </si>
  <si>
    <t>13/8/1975</t>
  </si>
  <si>
    <t>6860/QĐ-UBND ngày 22/12/2014</t>
  </si>
  <si>
    <t>Học viện Chính trị Quốc gia HCM</t>
  </si>
  <si>
    <t>Phạm Ngọc Anh</t>
  </si>
  <si>
    <t>24/3/1971</t>
  </si>
  <si>
    <t>Trưởng phòng Giáo dục</t>
  </si>
  <si>
    <t>6859/QĐ-UBND ngày 22/12/2014</t>
  </si>
  <si>
    <t>Nguyễn Quốc Vinh</t>
  </si>
  <si>
    <t>23/8/1976</t>
  </si>
  <si>
    <t>6864/QĐ-UBND ngày 22/12/2014</t>
  </si>
  <si>
    <t>Học viện KHXN</t>
  </si>
  <si>
    <t>Đỗ Văn Nam</t>
  </si>
  <si>
    <t>CV Phòng GDĐT</t>
  </si>
  <si>
    <t>Phó phòng VHTT</t>
  </si>
  <si>
    <t>Viên chức 
Ban Chỉ đạo GPMB</t>
  </si>
  <si>
    <t>Phó Chủ tịch UBND 
thị trấn Yên viên</t>
  </si>
  <si>
    <t>Kế toán 
Trung tâm TDTT</t>
  </si>
  <si>
    <t>Nguyễn Thị Hương</t>
  </si>
  <si>
    <t>Văn học VN</t>
  </si>
  <si>
    <t>Sinh học</t>
  </si>
  <si>
    <t>Kế toán</t>
  </si>
  <si>
    <t>Nguyễn Thị Tuyết Mai</t>
  </si>
  <si>
    <t>20/4/1981</t>
  </si>
  <si>
    <t>Kế toán - 
Kiểm toán</t>
  </si>
  <si>
    <t>Đại học Kinh doanh 
và Công nghệ</t>
  </si>
  <si>
    <t>893/QĐ-UBND ngày 06/01/2013</t>
  </si>
  <si>
    <t>Sở Ngoại vụ</t>
  </si>
  <si>
    <t>Sở Kế hoạch và Đầu tư</t>
  </si>
  <si>
    <t>Trần Đức Phương</t>
  </si>
  <si>
    <t xml:space="preserve"> Ktế Ctrị </t>
  </si>
  <si>
    <t>ĐH KHTN - ĐH Quốc gia Hà Nội</t>
  </si>
  <si>
    <t>21/5/1978</t>
  </si>
  <si>
    <t>Cấn Việt Anh</t>
  </si>
  <si>
    <t>16/3/1961</t>
  </si>
  <si>
    <t>1045/QĐ-UBND ngày 05/3/2010</t>
  </si>
  <si>
    <t xml:space="preserve">Chuyên viên </t>
  </si>
  <si>
    <t>10/5/1973</t>
  </si>
  <si>
    <t>PGĐ Trung tâm 
Giám định Y khoa</t>
  </si>
  <si>
    <t>1088/QĐ-UBND ngày 08/3/2010</t>
  </si>
  <si>
    <t xml:space="preserve">Số Quyết định cử đi học           </t>
  </si>
  <si>
    <t>Cơ sở đào tạo</t>
  </si>
  <si>
    <t>Trường ĐH Bách Khoa Hà Nội</t>
  </si>
  <si>
    <t>VH dân gian</t>
  </si>
  <si>
    <t>Trường Cao đẳng nghề công nghiệp</t>
  </si>
  <si>
    <t>Nghiên cứu viên</t>
  </si>
  <si>
    <t>Phó Chánh Thanh tra</t>
  </si>
  <si>
    <t>CV Phòng Nội vụ</t>
  </si>
  <si>
    <t>Học viện Quân y 
Bộ Quốc phòng</t>
  </si>
  <si>
    <t>CV Phòng QLQH</t>
  </si>
  <si>
    <t>2944/QĐ-UBND ngày 26/12/2008</t>
  </si>
  <si>
    <t>Trưởng phòng Nội vụ</t>
  </si>
  <si>
    <t>Phòng viên Báo PLXH</t>
  </si>
  <si>
    <t>Học viện KHXH - Viện KHXH VN</t>
  </si>
  <si>
    <t>17/10/1972</t>
  </si>
  <si>
    <t>Thương mại</t>
  </si>
  <si>
    <t>Bùi Thị Nga</t>
  </si>
  <si>
    <t>Trung tâm Phòng chống HIV/AIDS</t>
  </si>
  <si>
    <t>1428/QĐ-UBND ngày 06/4/2012</t>
  </si>
  <si>
    <t>Huyện Chương Mỹ</t>
  </si>
  <si>
    <t>Trường Cao đẳng cộng đồng Hà Tây</t>
  </si>
  <si>
    <t>Nguyễn Minh Tâm</t>
  </si>
  <si>
    <t>Phó trưởng phòng TH</t>
  </si>
  <si>
    <t>1618/QĐ-UBND ngày 20/4/2012</t>
  </si>
  <si>
    <t>Viện Nghiên cứu Thương mại</t>
  </si>
  <si>
    <t>Kinh tế 
phát triển</t>
  </si>
  <si>
    <t>Huyện Quốc Oai</t>
  </si>
  <si>
    <t>Trường Cao đẳng Thương mại và Du lịch Hà Nội</t>
  </si>
  <si>
    <t>610/QĐ-UBND ngày 01/02/2011</t>
  </si>
  <si>
    <t>Luật Ktế</t>
  </si>
  <si>
    <t>ĐH Quốc gia HN</t>
  </si>
  <si>
    <t>ĐH Y Hà Nội</t>
  </si>
  <si>
    <t>Hoàng Thị Thu Phương</t>
  </si>
  <si>
    <t>ĐH Kinh tế 
quốc dân</t>
  </si>
  <si>
    <t>07/6/1976</t>
  </si>
  <si>
    <t>658/QĐ-UBND ngày 30/01/2011</t>
  </si>
  <si>
    <t>16/7/1977</t>
  </si>
  <si>
    <t>22/7/1977</t>
  </si>
  <si>
    <t>Ngọ Văn Ngôn</t>
  </si>
  <si>
    <t>06/10/1979</t>
  </si>
  <si>
    <t>Chi cục PTNT HN</t>
  </si>
  <si>
    <t>2418/QĐ-UBND ngày 01/6/2012</t>
  </si>
  <si>
    <t>Bảo vệ
thực vật</t>
  </si>
  <si>
    <t>Viện Khoa học nông nghiệp VN</t>
  </si>
  <si>
    <t>Viện Khoa học giáo dục Việt Nam</t>
  </si>
  <si>
    <t>Huyện Ba Vì</t>
  </si>
  <si>
    <t>ĐH Lâm nghiệp</t>
  </si>
  <si>
    <t>Văn phòng Thành ủy HN:</t>
  </si>
  <si>
    <t>Kinh tế NN</t>
  </si>
  <si>
    <t>QL đô thị</t>
  </si>
  <si>
    <t>Ban Thi đua khen thưởng</t>
  </si>
  <si>
    <t>PGĐ Trung tâm 
Xúc tiến đầu tư</t>
  </si>
  <si>
    <t>Qlý hành chính công</t>
  </si>
  <si>
    <t>15/8/1974</t>
  </si>
  <si>
    <t>Huyện Mỹ Đức</t>
  </si>
  <si>
    <t>ĐH Giao thông
vận tải</t>
  </si>
  <si>
    <t>Huyện Gia Lâm</t>
  </si>
  <si>
    <t>Nguyễn Khánh Long</t>
  </si>
  <si>
    <t>Quận Hoàn Kiếm</t>
  </si>
  <si>
    <t>Ngô Hồng Thủy</t>
  </si>
  <si>
    <t>Phạm Tuấn Long</t>
  </si>
  <si>
    <t>Thị xã Sơn Tây</t>
  </si>
  <si>
    <t>Huyện Đông Anh</t>
  </si>
  <si>
    <t xml:space="preserve"> CNTT </t>
  </si>
  <si>
    <t>Qlý Ktế</t>
  </si>
  <si>
    <t>25/10/1981</t>
  </si>
  <si>
    <t xml:space="preserve"> Luật học </t>
  </si>
  <si>
    <t>Chuyên viên</t>
  </si>
  <si>
    <t>Chủ nghĩa XHH</t>
  </si>
  <si>
    <t>Nguyễn Thị Thu Phương</t>
  </si>
  <si>
    <t xml:space="preserve">Nguyễn Xuân Khương </t>
  </si>
  <si>
    <t>Phó phòng HC-HS
TT trợ giúp pháp lý</t>
  </si>
  <si>
    <t xml:space="preserve">ĐH Nông nghiệp </t>
  </si>
  <si>
    <t>Lý luận và LSNN và PL</t>
  </si>
  <si>
    <t>Quận Nam Từ Liêm</t>
  </si>
  <si>
    <t>Trịnh Thị Hương</t>
  </si>
  <si>
    <t>Ptrình vi phân và phân tích</t>
  </si>
  <si>
    <t>LLvà LSNN và pháp luật</t>
  </si>
  <si>
    <t>6868/QĐ-UBND ngày 22/12/2014</t>
  </si>
  <si>
    <t>QL đất đai</t>
  </si>
  <si>
    <t>Đại học NN Hà Nội</t>
  </si>
  <si>
    <t>Phạm Thị Thúy Hà</t>
  </si>
  <si>
    <t>CC Phòng LĐ TB XH</t>
  </si>
  <si>
    <t>6867/QĐ-UBND ngày 22/12/2014</t>
  </si>
  <si>
    <t>Trịnh Thế Thắng</t>
  </si>
  <si>
    <t>04/11/1981</t>
  </si>
  <si>
    <t>6871/QĐ-UBND ngày 22/12/2014</t>
  </si>
  <si>
    <t>Trương Anh Tuấn</t>
  </si>
  <si>
    <t>6870/QĐ-UBND ngày 22/12/2014</t>
  </si>
  <si>
    <t>Trần Xuân Thăng</t>
  </si>
  <si>
    <t>01/08/1982</t>
  </si>
  <si>
    <t>CV phòng VHTT</t>
  </si>
  <si>
    <t>6865/QĐ-UBND ngày 22/12/2014</t>
  </si>
  <si>
    <t>Đại học Kiến trúc</t>
  </si>
  <si>
    <t>25/5/1986</t>
  </si>
  <si>
    <t>6869/QĐ-UBND ngày 22/12/2014</t>
  </si>
  <si>
    <t>Trần Tuấn Anh</t>
  </si>
  <si>
    <t>30/10/1985</t>
  </si>
  <si>
    <t>6872/QĐ-UBND ngày 22/12/2014</t>
  </si>
  <si>
    <t>Đại học Lâm Nghiệp</t>
  </si>
  <si>
    <t>Đào Hiến Chương</t>
  </si>
  <si>
    <t>26/7/1976</t>
  </si>
  <si>
    <t>4532/QĐ-UBND ngày 03/9/2014</t>
  </si>
  <si>
    <t>Quản lý
Kinh tế</t>
  </si>
  <si>
    <t>Nguyễn Mạnh Dũng</t>
  </si>
  <si>
    <t>01/02/1985</t>
  </si>
  <si>
    <t>CV Phòng Ứng dụng CNTT</t>
  </si>
  <si>
    <t>2189/QĐ-UBND ngày 18/3/2013</t>
  </si>
  <si>
    <t>ĐH Công nghệ</t>
  </si>
  <si>
    <t>XD đường
ô tô TP</t>
  </si>
  <si>
    <t xml:space="preserve">Viên chức BQL 
đầu tư XD </t>
  </si>
  <si>
    <t>Kỹ thuật
hạ tầng đô thị</t>
  </si>
  <si>
    <t>Kinh tế
chính trị</t>
  </si>
  <si>
    <t>Đại học 
Lương Thế Vinh</t>
  </si>
  <si>
    <t>22/6/1983</t>
  </si>
  <si>
    <t>6887/QĐ-UBND ngày 22/12/2014</t>
  </si>
  <si>
    <t>Lê Thị Thu Hường</t>
  </si>
  <si>
    <t>15/4/1984</t>
  </si>
  <si>
    <t>6886/QĐ-UBND ngày 22/12/2014</t>
  </si>
  <si>
    <t>Vệ sinh XHH 
và tchức ytế</t>
  </si>
  <si>
    <t>Dương Đăng Hòa</t>
  </si>
  <si>
    <t>22/6/1978</t>
  </si>
  <si>
    <t>201/QĐ-UBND ngày 09/01/2014</t>
  </si>
  <si>
    <t>Lịch sử Đảng</t>
  </si>
  <si>
    <t>HP theo BL ngày 18/5/2013</t>
  </si>
  <si>
    <t>Lương Tuấn Nghĩa</t>
  </si>
  <si>
    <t>21/10/1980</t>
  </si>
  <si>
    <t>139/QĐ-UBND, ngày 07/01/2014</t>
  </si>
  <si>
    <t>09/12/1973</t>
  </si>
  <si>
    <t>138/QĐ-UBND, ngày 07/01/2014</t>
  </si>
  <si>
    <t>Kinh tế phát triển</t>
  </si>
  <si>
    <t>PV Báo PL xã hội</t>
  </si>
  <si>
    <t>137/QĐ-UBND, ngày 07/01/2014</t>
  </si>
  <si>
    <t>Ủy ban MTTQ Thành phố</t>
  </si>
  <si>
    <t>Học viện Công nghệ BCVT</t>
  </si>
  <si>
    <t>Nhân viên Khoa CNKT</t>
  </si>
  <si>
    <t>Kỹ thuật điện tử</t>
  </si>
  <si>
    <t xml:space="preserve">Giảng viên </t>
  </si>
  <si>
    <t>10/02/1985</t>
  </si>
  <si>
    <t>CV Phòng Thanh tra</t>
  </si>
  <si>
    <t>06/02/1976</t>
  </si>
  <si>
    <t>Phó trưởng Ban TT 
Ban QL phố cổ HN</t>
  </si>
  <si>
    <t>4521/QĐ-UBND, ngày 03/9/2014</t>
  </si>
  <si>
    <t>Phạm Thị Huyền Trang</t>
  </si>
  <si>
    <t>18/01/1991</t>
  </si>
  <si>
    <t>6893/QĐ-UBND ngày 22/12/2014</t>
  </si>
  <si>
    <t>08/08/1977</t>
  </si>
  <si>
    <t>Phó trưởng Khoa GDMN</t>
  </si>
  <si>
    <t>6892/QĐ-UBND ngày 22/12/2014</t>
  </si>
  <si>
    <t>Học viện Chính trị - 
Bộ Quốc phòng</t>
  </si>
  <si>
    <t>Phạm Việt Quỳnh</t>
  </si>
  <si>
    <t>17/5/1984</t>
  </si>
  <si>
    <t>6891/QĐ-UBND ngày 22/12/2014</t>
  </si>
  <si>
    <t>26/4/1983</t>
  </si>
  <si>
    <t>6890/QĐ-UBND ngày 22/12/2014</t>
  </si>
  <si>
    <t>31/8/1983</t>
  </si>
  <si>
    <t>6889/QĐ-UBND ngày 22/12/2014</t>
  </si>
  <si>
    <t>Nguyễn Huyền Chang</t>
  </si>
  <si>
    <t>03/9/1986</t>
  </si>
  <si>
    <t>6888/QĐ-UBND ngày 22/12/2014</t>
  </si>
  <si>
    <t>Nguyễn Minh Đức</t>
  </si>
  <si>
    <t>23/12/1977</t>
  </si>
  <si>
    <t>Trưởng phòng Tài chính - Kế hoạch</t>
  </si>
  <si>
    <t>6856/QĐ-UBND ngày 22/12/2014</t>
  </si>
  <si>
    <t>Đại học Thương mại</t>
  </si>
  <si>
    <t>Đoàn Thị Hằng</t>
  </si>
  <si>
    <t>04/5/1976</t>
  </si>
  <si>
    <t>6857/QĐ-UBND ngày 22/12/2014</t>
  </si>
  <si>
    <t>Tài chính -
 Ngân hàng</t>
  </si>
  <si>
    <t>Nguyễn Hữu Thắng</t>
  </si>
  <si>
    <t>16/8/1975</t>
  </si>
  <si>
    <t>4529/QĐ-UBND ngày 03/9/2014</t>
  </si>
  <si>
    <t>Âm nhạc</t>
  </si>
  <si>
    <t>ĐH Sư phạm nghệ thuật Trung ương</t>
  </si>
  <si>
    <t>Nguyễn Văn Long</t>
  </si>
  <si>
    <t>13/8/1984</t>
  </si>
  <si>
    <t>4528/QĐ-UBND ngày 03/9/2014</t>
  </si>
  <si>
    <t>Toán học</t>
  </si>
  <si>
    <t>Nguyễn Văn Huân</t>
  </si>
  <si>
    <t>27/01/1982</t>
  </si>
  <si>
    <t>4526/QĐ-UBND ngày 03/9/2014</t>
  </si>
  <si>
    <t>Trần Thị Mẫn</t>
  </si>
  <si>
    <t>03/01/1983</t>
  </si>
  <si>
    <t>4527/QĐ-UBND ngày 03/9/2014</t>
  </si>
  <si>
    <t>Nghiên cứu viên chính</t>
  </si>
  <si>
    <t>4997/QĐ-UBND ngày 29/9/2014</t>
  </si>
  <si>
    <t>Nguyễn Thị Mai Hương</t>
  </si>
  <si>
    <t>01/4/1982</t>
  </si>
  <si>
    <t>Chuyên viên Ban QLDA</t>
  </si>
  <si>
    <t>100/QĐ-UBND ngày 07/01/2014</t>
  </si>
  <si>
    <t>23/02/1983</t>
  </si>
  <si>
    <t>102/QĐ-UBND ngày 07/01/2014</t>
  </si>
  <si>
    <t>Quản lý VH</t>
  </si>
  <si>
    <t>Lê Trần Thắng</t>
  </si>
  <si>
    <t>16/9/1979</t>
  </si>
  <si>
    <t>ĐH Kinh doanh và công nghệ</t>
  </si>
  <si>
    <t xml:space="preserve">ĐH Sư phạm HN </t>
  </si>
  <si>
    <t>Lý luận văn học</t>
  </si>
  <si>
    <t>19/6/1976</t>
  </si>
  <si>
    <t>14/11/1974</t>
  </si>
  <si>
    <t>2009/QĐ-UBND ngày 15/04/2014</t>
  </si>
  <si>
    <t>XH học</t>
  </si>
  <si>
    <t>Hoàng Thị Minh Nguyệt</t>
  </si>
  <si>
    <t>4/4/1980</t>
  </si>
  <si>
    <t>Chuyên viên 
Ban phong trào</t>
  </si>
  <si>
    <t>2008/QĐ-UBND ngày 15/04/2014</t>
  </si>
  <si>
    <t>11/08/1983</t>
  </si>
  <si>
    <t>CV Phòng Tổ chức HC</t>
  </si>
  <si>
    <t>4624/QĐ-UBND ngày 06/09/2014</t>
  </si>
  <si>
    <t>23/2/1981</t>
  </si>
  <si>
    <t>CV Phòng KHĐT</t>
  </si>
  <si>
    <t>2746/QĐ-UBND ngày 23/5/2014</t>
  </si>
  <si>
    <t>ĐH Kinh Tế QD</t>
  </si>
  <si>
    <t>13/01/1981</t>
  </si>
  <si>
    <t>CV  phòng VHTT</t>
  </si>
  <si>
    <t>2747/QĐ-UBND ngày 23/05/2014</t>
  </si>
  <si>
    <t>QLVH</t>
  </si>
  <si>
    <t>Nguyễn Thị Mỹ Linh</t>
  </si>
  <si>
    <t>25/03/1980</t>
  </si>
  <si>
    <t>4515/QĐ-UBND ngày 03/09/2014</t>
  </si>
  <si>
    <t>ĐH NN HN</t>
  </si>
  <si>
    <t>13/10/1983</t>
  </si>
  <si>
    <t>131/QĐ-UBND ngày 07/01/2014</t>
  </si>
  <si>
    <t>Y học cổ truyền</t>
  </si>
  <si>
    <t>Trần Thị Thơm</t>
  </si>
  <si>
    <t>02/01/1989</t>
  </si>
  <si>
    <t>714/QĐ-UBND ngày 24/01/2014</t>
  </si>
  <si>
    <t>Nguyễn Thị Thuần</t>
  </si>
  <si>
    <t>25/11/1975</t>
  </si>
  <si>
    <t>Trưởng bộ môn VL</t>
  </si>
  <si>
    <t>710/QĐ-UBND ngày 24/01/2014</t>
  </si>
  <si>
    <t>ĐH sư phạm HN</t>
  </si>
  <si>
    <t>17/07/1986</t>
  </si>
  <si>
    <t>2015/QĐ-UBND ngày 15/04/2014</t>
  </si>
  <si>
    <t>ĐH KHXH nhân văn</t>
  </si>
  <si>
    <t>07/11/1976</t>
  </si>
  <si>
    <t>Tâm lý học</t>
  </si>
  <si>
    <t>Trịnh Bá Thường</t>
  </si>
  <si>
    <t>27/5/1975</t>
  </si>
  <si>
    <t>4525/QĐ-UBND ngày 03/09/2014</t>
  </si>
  <si>
    <t>HC công</t>
  </si>
  <si>
    <t>Nguyễn Xuân Nghệ</t>
  </si>
  <si>
    <t>19/6/1979</t>
  </si>
  <si>
    <t>4524/QĐ-UBND ngày 03/09/2014</t>
  </si>
  <si>
    <t>HVKH XH</t>
  </si>
  <si>
    <t>Tô Thị Đào</t>
  </si>
  <si>
    <t>14/08/1979</t>
  </si>
  <si>
    <t>CV phòng LĐTBXH</t>
  </si>
  <si>
    <t>6863/QĐ-UBND ngày 22/12/2014</t>
  </si>
  <si>
    <t>HV Chính trị - BQP</t>
  </si>
  <si>
    <t>21/9/1988</t>
  </si>
  <si>
    <t>133/QĐ-UBND ngày 07/01/2014</t>
  </si>
  <si>
    <t>Vật lý nguyên tử</t>
  </si>
  <si>
    <t xml:space="preserve">Nguyễn Thị Hải Hà </t>
  </si>
  <si>
    <t>Nghiêm Đình Đạt</t>
  </si>
  <si>
    <t>17/2/1976</t>
  </si>
  <si>
    <t>6858/QĐ-UBND ngày 22/12/2014</t>
  </si>
  <si>
    <t>Trần Ngọc Hương</t>
  </si>
  <si>
    <t>Phạm Tuấn Anh</t>
  </si>
  <si>
    <t>21/8/1974</t>
  </si>
  <si>
    <t>HP toàn khóa</t>
  </si>
  <si>
    <t>Nguyễn Thị Kim Quế</t>
  </si>
  <si>
    <t>24/6/1975</t>
  </si>
  <si>
    <t>CV Phòng TCKT</t>
  </si>
  <si>
    <t>6877/QĐ-UBND ngày 22/12/2014</t>
  </si>
  <si>
    <t>Nguyễn Văn Trương</t>
  </si>
  <si>
    <t>16/7/1974</t>
  </si>
  <si>
    <t>Hiệu trưởng Trường 
Tiểu học Đông Dư</t>
  </si>
  <si>
    <t>6874/QĐ-UBND ngày 22/12/2014</t>
  </si>
  <si>
    <t>Qlý giáo dục</t>
  </si>
  <si>
    <t>ĐHSP HN</t>
  </si>
  <si>
    <t>Đặng Văn Luân</t>
  </si>
  <si>
    <t>06/8/1978</t>
  </si>
  <si>
    <t>6876/QĐ-UBND ngày 22/12/2014</t>
  </si>
  <si>
    <t>Luật Hiến Pháp</t>
  </si>
  <si>
    <t>HV Khoa học XH</t>
  </si>
  <si>
    <t>Tạ Vũ Sơn</t>
  </si>
  <si>
    <t>03/09/1979</t>
  </si>
  <si>
    <t>4999/QĐ-UBND ngày 29/09/2014</t>
  </si>
  <si>
    <t>QL Hành chính</t>
  </si>
  <si>
    <t>Nguyễn Thị Lệ Quyên</t>
  </si>
  <si>
    <t>6873/QĐ-UBND ngày 22/12/2014</t>
  </si>
  <si>
    <t>Đại học mở HN</t>
  </si>
  <si>
    <t>Phan Thị Thu Hiền</t>
  </si>
  <si>
    <t>20/11/1983</t>
  </si>
  <si>
    <t>5002/QĐ-UBND ngày 29/09/2014</t>
  </si>
  <si>
    <t>Cao Thùy Linh</t>
  </si>
  <si>
    <t>30/08/1986</t>
  </si>
  <si>
    <t>921/QĐ-UBND ngày 24/02/2015</t>
  </si>
  <si>
    <t>Đào Ngọc Hà</t>
  </si>
  <si>
    <t>22/02/1982</t>
  </si>
  <si>
    <t>916/QĐ-UBND ngày 24/02/2015</t>
  </si>
  <si>
    <t xml:space="preserve"> </t>
  </si>
  <si>
    <t>Nguyễn Thanh Kiên</t>
  </si>
  <si>
    <t>18/08/1980</t>
  </si>
  <si>
    <t>127/QĐ-UBND ngày 07/01/2014</t>
  </si>
  <si>
    <t>Nguyễn Văn Lệ</t>
  </si>
  <si>
    <t>11/2/1978</t>
  </si>
  <si>
    <t>128/QĐ-UBND ngày 07/01/2014</t>
  </si>
  <si>
    <t>Vương Thị Hương Giang</t>
  </si>
  <si>
    <t>14/5/1980</t>
  </si>
  <si>
    <t>129/QĐ-UBND ngày 07/01/2014</t>
  </si>
  <si>
    <t>Đại học Y dược TPHCM</t>
  </si>
  <si>
    <t>Lê Thị Thanh Thảo</t>
  </si>
  <si>
    <t>26/4/1980</t>
  </si>
  <si>
    <t>2190/QĐ-UBND ngày 18/3/2013</t>
  </si>
  <si>
    <t>Chử Xuân Dũng</t>
  </si>
  <si>
    <t>1964/QĐ-UBND, ngày 15/4/2014</t>
  </si>
  <si>
    <t>Lý luận và lịch sử giáo dục</t>
  </si>
  <si>
    <t>ĐH SP HN</t>
  </si>
  <si>
    <t>Kiều Văn Minh</t>
  </si>
  <si>
    <t>20/10/1965</t>
  </si>
  <si>
    <t>1992/QĐ-UBND, ngày 15/4/2014</t>
  </si>
  <si>
    <t>HV quản lý GD</t>
  </si>
  <si>
    <t>Nguyễn Thị Thanh Hồng</t>
  </si>
  <si>
    <t>1990/QĐ-UBND, ngày 15/4/2014</t>
  </si>
  <si>
    <t>HV chính trị BQP</t>
  </si>
  <si>
    <t>Nguyễn Thị Tuyết</t>
  </si>
  <si>
    <t>03/04/1972</t>
  </si>
  <si>
    <t>1989/QĐ-UBND, ngày 15/4/2014</t>
  </si>
  <si>
    <t>Nguyễn Thị Quất</t>
  </si>
  <si>
    <t>18/12/1978</t>
  </si>
  <si>
    <t>1988/QĐ-UBND, ngày 15/4/2014</t>
  </si>
  <si>
    <t>Đại học KHXH&amp;NV</t>
  </si>
  <si>
    <t>Hoàng Đình Xuân</t>
  </si>
  <si>
    <t>10/3/1974</t>
  </si>
  <si>
    <t>1958/QĐ-UBND, ngày 15/4/2014</t>
  </si>
  <si>
    <t>Lý Luận &amp; PPDH</t>
  </si>
  <si>
    <t>Đại học SPHN</t>
  </si>
  <si>
    <t>Nguyễn Thị Nhiếp</t>
  </si>
  <si>
    <t>22/11/1972</t>
  </si>
  <si>
    <t>1957/QĐ-UBND, ngày 15/4/2014</t>
  </si>
  <si>
    <t>Nguyễn Hồng Phong</t>
  </si>
  <si>
    <t>25/04/1979</t>
  </si>
  <si>
    <t>705/QĐ-UBND ngày 24/01/2014</t>
  </si>
  <si>
    <t>XD Đảng</t>
  </si>
  <si>
    <t>Phạm Thị Bưởi</t>
  </si>
  <si>
    <t>01/10/1979</t>
  </si>
  <si>
    <t>6875/QĐ-UBND ngày 22/12/2014</t>
  </si>
  <si>
    <t>Học viên NN VN</t>
  </si>
  <si>
    <t>Cao Thu Thủy</t>
  </si>
  <si>
    <t>27/6/1978</t>
  </si>
  <si>
    <t xml:space="preserve">CV Thanh Tra </t>
  </si>
  <si>
    <t>931/QĐ-UBND ngày 24/02/2015</t>
  </si>
  <si>
    <t>Đặng Văn Biểu</t>
  </si>
  <si>
    <t>930/QĐ-UBND ngày 24/02/2015</t>
  </si>
  <si>
    <t>Đại học giáo dục</t>
  </si>
  <si>
    <t>Trần Thị Tố Uyên</t>
  </si>
  <si>
    <t>13/01/1977</t>
  </si>
  <si>
    <t>6894/QĐ-UBND ngày 22/12/2014</t>
  </si>
  <si>
    <t>Nguyễn Ngọc Tiệp</t>
  </si>
  <si>
    <t>13/5/1987</t>
  </si>
  <si>
    <t>6881/QĐ-UBND ngày 22/12/2014</t>
  </si>
  <si>
    <t>Học viện KHXH</t>
  </si>
  <si>
    <t>Nguyễn Hồng Thái</t>
  </si>
  <si>
    <t>23/2/1977</t>
  </si>
  <si>
    <t>CV phòng TNMT</t>
  </si>
  <si>
    <t>3890/QĐ-UBND ngày 13/8/2015</t>
  </si>
  <si>
    <t>Đông Nam Á</t>
  </si>
  <si>
    <t>Học viện Ctrị - 
Hành chính KV 1</t>
  </si>
  <si>
    <t>Đại học Quốc gia
Hà Nội</t>
  </si>
  <si>
    <t>Nguyễn Thị Hải Yến</t>
  </si>
  <si>
    <t>Trần Thị Hồng Hạnh</t>
  </si>
  <si>
    <t>11/8/1977</t>
  </si>
  <si>
    <t>885/QĐ-UBND ngày 06/02/2013</t>
  </si>
  <si>
    <t>Nguyễn Thanh Phong</t>
  </si>
  <si>
    <t>05/9/1980</t>
  </si>
  <si>
    <t>883/QĐ-UBND ngày 06/02/2013</t>
  </si>
  <si>
    <t>Vi sinh y học</t>
  </si>
  <si>
    <t>Hứa Thị An</t>
  </si>
  <si>
    <t>08/11/1978</t>
  </si>
  <si>
    <t>880/QĐ-UBND ngày 06/02/2013</t>
  </si>
  <si>
    <t>Cơ sở toán tin</t>
  </si>
  <si>
    <t>Ngô Văn Dũng</t>
  </si>
  <si>
    <t>31/12/1985</t>
  </si>
  <si>
    <t>879/QĐ-UBND ngày 06/02/2013</t>
  </si>
  <si>
    <t>Kỹ thuật cơ khí</t>
  </si>
  <si>
    <t>HP năm 1</t>
  </si>
  <si>
    <t>Phạm Xuân Sơn</t>
  </si>
  <si>
    <t>14/9/1975</t>
  </si>
  <si>
    <t>Phó trưởng phòng LS</t>
  </si>
  <si>
    <t>Quận Ba Đình</t>
  </si>
  <si>
    <t>Phó trưởng 
Khoa CNTT</t>
  </si>
  <si>
    <t>ĐH Thể dục thể thao Bắc Ninh</t>
  </si>
  <si>
    <t>ĐH Văn hóa HN</t>
  </si>
  <si>
    <t>Viện KH Giáo dục Việt Nam</t>
  </si>
  <si>
    <t>Học viện Quân y</t>
  </si>
  <si>
    <t>Số    tháng    hỗ trợ        đợt này (tháng)</t>
  </si>
  <si>
    <t>Chức vụ, 
đơn vị công tác</t>
  </si>
  <si>
    <t>Trình độ cử đi        đào tạo</t>
  </si>
  <si>
    <t>Thời         điểm được hưởng         hỗ trợ</t>
  </si>
  <si>
    <t>Thời gian hỗ trợ 
đợt này</t>
  </si>
  <si>
    <t>Hỗ trợ     
 bảo vệ 
LV, LA</t>
  </si>
  <si>
    <t>Hỗ trợ
hàng tháng</t>
  </si>
  <si>
    <t>Đại học Quốc gia 
Hà Nội</t>
  </si>
  <si>
    <t xml:space="preserve">CV phòng HC SN </t>
  </si>
  <si>
    <t xml:space="preserve">CV phòng NS quận, huyện </t>
  </si>
  <si>
    <t>CV phòng NS quận, huyện</t>
  </si>
  <si>
    <t>Phó Trưởng ban TCHU</t>
  </si>
  <si>
    <t>Học viện Báo chí
tuyên truyền</t>
  </si>
  <si>
    <t>CV phòng Nội vụ</t>
  </si>
  <si>
    <t>CV phòng Tài chính KH</t>
  </si>
  <si>
    <t>896/QĐ-UBND ngày 06/2/2013</t>
  </si>
  <si>
    <t>Học viện Ctrị -
Hành chính KV 1</t>
  </si>
  <si>
    <t xml:space="preserve">CV Ban Dân vận </t>
  </si>
  <si>
    <t>Quận đoàn Ba Đình</t>
  </si>
  <si>
    <t>CV Ban Tổ chức 
Quận ủy</t>
  </si>
  <si>
    <t>Nguyễn Quế Anh</t>
  </si>
  <si>
    <t>Nguyễn Văn Thao</t>
  </si>
  <si>
    <t>Lê Thu Huyền</t>
  </si>
  <si>
    <t>Trưởng phòng Tư pháp</t>
  </si>
  <si>
    <t>CV Phòng VBPQ</t>
  </si>
  <si>
    <t>Quận Hai Bà Trưng</t>
  </si>
  <si>
    <t>Nguyễn Thị Ngọc Anh</t>
  </si>
  <si>
    <t>200/QĐ-UBND ngày 09/01/2014</t>
  </si>
  <si>
    <t>Học viện Chính trị - Hành chính KV1</t>
  </si>
  <si>
    <t>Viên chức BQL khu 
Di tích Hương Sơn</t>
  </si>
  <si>
    <t>CV phòng đăng ký 
quyền sử dụng đất</t>
  </si>
  <si>
    <t>Viên chức BQLDA
đầu tư Xây dựng</t>
  </si>
  <si>
    <t>Học viện chính trị 
Bộ Quốc phòng</t>
  </si>
  <si>
    <t>Đỗ Văn Tình</t>
  </si>
  <si>
    <t>28/10/1984</t>
  </si>
  <si>
    <t>CV Phòng Văn xã</t>
  </si>
  <si>
    <t>915/QĐ-UBND ngày 24/02/2015</t>
  </si>
  <si>
    <t>Xây dựng dân dụng và CN</t>
  </si>
  <si>
    <t>Học viện 
Kỹ thuật quân sự</t>
  </si>
  <si>
    <t>Bùi Thị Yến</t>
  </si>
  <si>
    <t>01/8/1978</t>
  </si>
  <si>
    <t>Phó trưởng phòng DN</t>
  </si>
  <si>
    <t>917/QĐ-UBND ngày 24/02/2015</t>
  </si>
  <si>
    <t>Quản lý kinh tế</t>
  </si>
  <si>
    <t>Học viện Chính trị
khu vực 1</t>
  </si>
  <si>
    <t>Trung tâm Bác sĩ gia đình thuộc Sở Y tế</t>
  </si>
  <si>
    <t>Đoàn Văn Việt</t>
  </si>
  <si>
    <t>02/01/1967</t>
  </si>
  <si>
    <t>CV phòng NSQH</t>
  </si>
  <si>
    <t>Trần Việt Hùng</t>
  </si>
  <si>
    <t>26/8/1973</t>
  </si>
  <si>
    <t>4531/QĐ-UBND, ngày 03/9/2014</t>
  </si>
  <si>
    <t>Đại học Điện lực</t>
  </si>
  <si>
    <t>Đinh Thị Na</t>
  </si>
  <si>
    <t>Phó phòng Thanh tra</t>
  </si>
  <si>
    <t>5001/QĐ-UBND, ngày 29/9/2014</t>
  </si>
  <si>
    <t>Nguyễn Hương Thảo</t>
  </si>
  <si>
    <t>23/7/1983</t>
  </si>
  <si>
    <t>4613/QĐ-UBND, ngày 06/9/2014</t>
  </si>
  <si>
    <t>Luật hành chính</t>
  </si>
  <si>
    <t>Nguyễn Thị Kim Dung</t>
  </si>
  <si>
    <t>Chuyên viên 
Phòng Kinh tế</t>
  </si>
  <si>
    <t>113/QĐ-UBND ngày 07/01/2014</t>
  </si>
  <si>
    <t>Phạm Anh Tuấn</t>
  </si>
  <si>
    <t>CV Phòng Tài chính</t>
  </si>
  <si>
    <t>114/QĐ-UBND ngày 07/01/2014</t>
  </si>
  <si>
    <t>Trần Minh Phượng</t>
  </si>
  <si>
    <t>21/12/1981</t>
  </si>
  <si>
    <t>CV Phòng Kinh tế</t>
  </si>
  <si>
    <t>115/QĐ-UBND ngày 07/01/2014</t>
  </si>
  <si>
    <t>22/10/1979</t>
  </si>
  <si>
    <t>130/QĐ-UBND ngày 07/01/2014</t>
  </si>
  <si>
    <t>Đặng Thị Hà</t>
  </si>
  <si>
    <t>17/12/1976</t>
  </si>
  <si>
    <t>Trường ĐH 
Sư phạm Hà Nội</t>
  </si>
  <si>
    <t>LL&amp;PP dạy  môn Toán</t>
  </si>
  <si>
    <t>05/11/1973</t>
  </si>
  <si>
    <t>Nguyễn Thị Hồng</t>
  </si>
  <si>
    <t>01/01/1978</t>
  </si>
  <si>
    <t>Trần Thị Thu Sen</t>
  </si>
  <si>
    <t>10/9/1979</t>
  </si>
  <si>
    <t>CV Trung tâm BDCT</t>
  </si>
  <si>
    <t>2014/QĐ-UBND ngày 15/4/2014</t>
  </si>
  <si>
    <t>13/11/1975</t>
  </si>
  <si>
    <t>Học viện 
Công nghệ BCVT</t>
  </si>
  <si>
    <t>Phó trưởng phòng
Kinh tế</t>
  </si>
  <si>
    <t>Ban Chỉ đạo GPMB</t>
  </si>
  <si>
    <t>Phó trưởng phòng 
Tư pháp</t>
  </si>
  <si>
    <t>Chuyên viên 
Phòng Nội vụ</t>
  </si>
  <si>
    <t>Đỗ Thị Ngọc Anh</t>
  </si>
  <si>
    <t>18/02/1978</t>
  </si>
  <si>
    <t>Học viêện Chính trị khu vực 1</t>
  </si>
  <si>
    <t>3120/QĐ-UBND, ngày 14/5/2013</t>
  </si>
  <si>
    <t>Khoa học 
máy tính</t>
  </si>
  <si>
    <t>Nguyễn Bảo Ngọc</t>
  </si>
  <si>
    <t>01/02/1984</t>
  </si>
  <si>
    <t>Giảng viên khoa kế toán</t>
  </si>
  <si>
    <t>3568/QĐ-UBND, ngày 10/6/2013</t>
  </si>
  <si>
    <t>Kinh tế chính trị</t>
  </si>
  <si>
    <t>09/11/1977</t>
  </si>
  <si>
    <t>3569/QĐ-UBND, ngày 10/6/2013</t>
  </si>
  <si>
    <t xml:space="preserve"> Đỗ Phương Nhung</t>
  </si>
  <si>
    <t>09/10/1982</t>
  </si>
  <si>
    <t>3571/QĐ-UBND, ngày 10/6/2013</t>
  </si>
  <si>
    <t>Kỹ thuật viễn thông</t>
  </si>
  <si>
    <t>Học viện CN
Bưu chính VT</t>
  </si>
  <si>
    <t>ĐH Nông nghiệp</t>
  </si>
  <si>
    <t>Quản trị KD</t>
  </si>
  <si>
    <t>Phạm Thị Hồng Chiên</t>
  </si>
  <si>
    <t>07/02/1985</t>
  </si>
  <si>
    <t>CV Phòng Tư pháp</t>
  </si>
  <si>
    <t>4195/QĐ-UBND ngày 25/9/2012</t>
  </si>
  <si>
    <t>01/01/1983</t>
  </si>
  <si>
    <t>4194/QĐ-UBND ngày 25/9/2012</t>
  </si>
  <si>
    <t>Học viện Ctrị - Hành chính KV 1</t>
  </si>
  <si>
    <t>Sở Tài chính</t>
  </si>
  <si>
    <t>24/8/1979</t>
  </si>
  <si>
    <t>ĐH Kinh tế QD</t>
  </si>
  <si>
    <t>Y tế công cộng</t>
  </si>
  <si>
    <t>ĐH Bách khoa HN</t>
  </si>
  <si>
    <t>Học viện Báo chí tuyên truyền</t>
  </si>
  <si>
    <t>Quận Hoàng Mai</t>
  </si>
  <si>
    <t>24/3/1975</t>
  </si>
  <si>
    <t>Nguyễn Thị Hoàng Thu</t>
  </si>
  <si>
    <t>27/7/1978</t>
  </si>
  <si>
    <t>4187/QĐ-UBND ngày 25/9/2012</t>
  </si>
  <si>
    <t>Điều dưỡng</t>
  </si>
  <si>
    <t>ĐH Y dược TP
Hồ Chí Minh</t>
  </si>
  <si>
    <t>CV Văn phòng Sở</t>
  </si>
  <si>
    <t>QTKD</t>
  </si>
  <si>
    <t>ĐH Kinh doanh 
và công nghệ</t>
  </si>
  <si>
    <t>1959/QĐ-UBND ngày 14/04/2014</t>
  </si>
  <si>
    <t>QLGD</t>
  </si>
  <si>
    <t>ĐHSP Hà Nội</t>
  </si>
  <si>
    <t>Nguyễn Tây Du</t>
  </si>
  <si>
    <t>06/09/1975</t>
  </si>
  <si>
    <t>4517/QĐ-UBND ngày 03/09/2014</t>
  </si>
  <si>
    <t>HVCT - HC KV1</t>
  </si>
  <si>
    <t>DANH SÁCH CBCC, VIÊN CHỨC ĐƯỢC HỖ TRỢ ĐÀO TẠO SAU ĐẠI HỌC Ở TRONG NƯỚC TỪ THÁNG 01/2016 ĐẾN THÁNG 12/2016</t>
  </si>
  <si>
    <t>Đã hỗ  trợ đến tháng 12/2015 (tháng)</t>
  </si>
  <si>
    <t>Từ 01/2016</t>
  </si>
  <si>
    <t>Đến 12/2016</t>
  </si>
  <si>
    <t>HP NCS  2015</t>
  </si>
  <si>
    <t>HP NCS 2015</t>
  </si>
  <si>
    <t>HP 2015-2016</t>
  </si>
  <si>
    <t>Vũ Tiến Dũng</t>
  </si>
  <si>
    <t>10/02/1971</t>
  </si>
  <si>
    <t>Phó hiệu trường</t>
  </si>
  <si>
    <t>7053/QĐ-UBND ngày 22/12/2015</t>
  </si>
  <si>
    <t>Học viện Quản lý Giáo Dục</t>
  </si>
  <si>
    <t>mới</t>
  </si>
  <si>
    <t>Ngô Thị Thanh Hà</t>
  </si>
  <si>
    <t>09/8/1977</t>
  </si>
  <si>
    <t>Giảng viên môn Lịch sử</t>
  </si>
  <si>
    <t>5427/QĐ-UBND ngày 16/10/2015</t>
  </si>
  <si>
    <t>ĐH Khoa học xã hội và Nhân văn</t>
  </si>
  <si>
    <t>Hà Thị Ánh Nguyệt</t>
  </si>
  <si>
    <t>02/9/1982</t>
  </si>
  <si>
    <t>7052/QĐ-UBND ngày 22/12/2015</t>
  </si>
  <si>
    <t>Thạc sỹ</t>
  </si>
  <si>
    <t>Quản lý văn hóa</t>
  </si>
  <si>
    <t>Trần Văn Việt</t>
  </si>
  <si>
    <t>hồ sơ T3</t>
  </si>
  <si>
    <t>Lưu Thanh Huyền</t>
  </si>
  <si>
    <t>07/11/1981</t>
  </si>
  <si>
    <t>Chuyên viên Phòng KHTC</t>
  </si>
  <si>
    <t>1144/QĐ-UBND ngày 11/03/2016</t>
  </si>
  <si>
    <t>Tài chính - ngân hàng</t>
  </si>
  <si>
    <t>HP kỳ 2 2015-2016</t>
  </si>
  <si>
    <t xml:space="preserve">HP đợt 1 + 2 + 3 </t>
  </si>
  <si>
    <t>HP 2 kỳ 2014-2015</t>
  </si>
  <si>
    <t>5203/QĐ-UBND ngày 22/10/2010</t>
  </si>
  <si>
    <t>Công nghệ dược phẩm và bào chế</t>
  </si>
  <si>
    <t xml:space="preserve">ĐH Dược Hà Nội </t>
  </si>
  <si>
    <t>Đặng Thị Hiền</t>
  </si>
  <si>
    <t>đã xong</t>
  </si>
  <si>
    <t>28/3/1984</t>
  </si>
  <si>
    <t>21/4/1980</t>
  </si>
  <si>
    <t>1145/QĐ-UBND ngày 11/3/2016</t>
  </si>
  <si>
    <t>BS Chuyên khoa 2</t>
  </si>
  <si>
    <t>HP năm 1 + 2 và Lệ phí thi</t>
  </si>
  <si>
    <t>17/12/1982</t>
  </si>
  <si>
    <t>Giảng viên bộ môn Y tế Cộng đồng</t>
  </si>
  <si>
    <t>7049/QĐ-UBND ngày 22/12/2015</t>
  </si>
  <si>
    <t xml:space="preserve">HP đợt 1,2,3 </t>
  </si>
  <si>
    <t>Hoàng Đức Huế</t>
  </si>
  <si>
    <t>24/04/1978</t>
  </si>
  <si>
    <t>316/QĐ-UBND ngày 19/01/2010</t>
  </si>
  <si>
    <t>Trồng trọt</t>
  </si>
  <si>
    <t>Trường ĐH 
Nông nghiệp HN</t>
  </si>
  <si>
    <t>HP NCS 2015-2016</t>
  </si>
  <si>
    <t>Nguyễn Đức Trung</t>
  </si>
  <si>
    <t>02/9/1979</t>
  </si>
  <si>
    <t>Giáo dục học đại học</t>
  </si>
  <si>
    <t>ĐH Cát Lâm</t>
  </si>
  <si>
    <t>Bổ sung đợt 3</t>
  </si>
  <si>
    <t>Đỗ Xuân Đà</t>
  </si>
  <si>
    <t>HP (20/3/2014)</t>
  </si>
  <si>
    <t>945/QĐ-UBND ngày 28/2/2011</t>
  </si>
  <si>
    <t>Vũ Thị Phương</t>
  </si>
  <si>
    <t>16/7/1984</t>
  </si>
  <si>
    <t>Chuyên viên VP HĐND</t>
  </si>
  <si>
    <t>1133/QĐ-UBND ngày 11/3/2016</t>
  </si>
  <si>
    <t>HP kỳ 1 (2015-2016)</t>
  </si>
  <si>
    <t>Bồi hoàn kinh phí (lý do sức khỏe)
Năm 2013: 51875000
Năm 2015: 60500000</t>
  </si>
  <si>
    <t>HP (2014-2016) + HP đợt cuối</t>
  </si>
  <si>
    <t>15/11/1977</t>
  </si>
  <si>
    <t>HP kỳ 1-&gt;4 + kinh phí ngoài h kỳ 1+2</t>
  </si>
  <si>
    <t>Trần Thu Thủy</t>
  </si>
  <si>
    <t>Chuyên viên 
Sở Công thương</t>
  </si>
  <si>
    <t>6030/QĐ-UBND, ngày 27/12/2011</t>
  </si>
  <si>
    <t>Qtri Kdoanh</t>
  </si>
  <si>
    <t>05/8/1975</t>
  </si>
  <si>
    <t>HP2014-2016 + HP đợt cuối</t>
  </si>
  <si>
    <t>660/QĐ-UBND ngày 30/01/2011</t>
  </si>
  <si>
    <t>Kinh tế
phát triển</t>
  </si>
  <si>
    <t>Có TB chuyển công tác (102/CĐCĐHT-TCHC)</t>
  </si>
  <si>
    <r>
      <t xml:space="preserve">Hỗ trợ 100 USD/tháng + </t>
    </r>
    <r>
      <rPr>
        <b/>
        <sz val="9"/>
        <rFont val="Times New Roman"/>
        <family val="1"/>
      </rPr>
      <t>đang bị * 1,5
có Thông báo chuyển công tác (102/CĐCĐHT-TCHC)</t>
    </r>
  </si>
  <si>
    <t xml:space="preserve">Đơn vị </t>
  </si>
  <si>
    <r>
      <t xml:space="preserve">HP </t>
    </r>
    <r>
      <rPr>
        <b/>
        <sz val="9"/>
        <color indexed="10"/>
        <rFont val="Times New Roman"/>
        <family val="1"/>
      </rPr>
      <t>gia hạn</t>
    </r>
    <r>
      <rPr>
        <b/>
        <sz val="9"/>
        <rFont val="Times New Roman"/>
        <family val="1"/>
      </rPr>
      <t xml:space="preserve"> năm 2 + 4</t>
    </r>
  </si>
  <si>
    <r>
      <t xml:space="preserve">4 Phiếu thu + Biên lai; HT theo tháng đã xong căn cứ bản trình 2013  + </t>
    </r>
    <r>
      <rPr>
        <b/>
        <sz val="9"/>
        <rFont val="Times New Roman"/>
        <family val="1"/>
      </rPr>
      <t xml:space="preserve">Phát sinh tiền </t>
    </r>
    <r>
      <rPr>
        <b/>
        <sz val="9"/>
        <color indexed="10"/>
        <rFont val="Times New Roman"/>
        <family val="1"/>
      </rPr>
      <t>gia hạn 24 tháng</t>
    </r>
  </si>
  <si>
    <r>
      <t xml:space="preserve">BL 2011010120 + 201106729 </t>
    </r>
    <r>
      <rPr>
        <b/>
        <sz val="7"/>
        <rFont val="Times New Roman"/>
        <family val="1"/>
      </rPr>
      <t>không có dấu đỏ</t>
    </r>
    <r>
      <rPr>
        <sz val="7"/>
        <rFont val="Times New Roman"/>
        <family val="1"/>
      </rPr>
      <t xml:space="preserve">
Đã hỗ trợ BVLV2015</t>
    </r>
  </si>
  <si>
    <t>Nguyễn Hữu Thìn</t>
  </si>
  <si>
    <t>23/3/1978</t>
  </si>
  <si>
    <t>Phó TP Nội vụ</t>
  </si>
  <si>
    <t>1132/QĐ-UBND ngày 11/3/2016</t>
  </si>
  <si>
    <t>Học viện chính trị - Bộ Quốc phòng</t>
  </si>
  <si>
    <t>HP đợt 1 + Phí hỗ trợ đào tạo + Phí sơ tuyển</t>
  </si>
  <si>
    <t>Lê Thanh Hà</t>
  </si>
  <si>
    <t>27/8/1984</t>
  </si>
  <si>
    <t>Chuyên viên TT Dân số</t>
  </si>
  <si>
    <t>1131/QĐ-UBND ngày 11/3/2016</t>
  </si>
  <si>
    <t>Lê Anh Dũng</t>
  </si>
  <si>
    <t>CV phòng Tư pháp</t>
  </si>
  <si>
    <t>3893/QĐ-UBND ngày 13/8/2015</t>
  </si>
  <si>
    <t>Học viện Khoa học xã hội</t>
  </si>
  <si>
    <t>Phí hỗ trợ đào tạo + HP2015</t>
  </si>
  <si>
    <t>Nguyễn Anh Dũng</t>
  </si>
  <si>
    <t>16/02/1979</t>
  </si>
  <si>
    <t>CV Văn phòng HĐND</t>
  </si>
  <si>
    <t>3892/QĐ-UBND ngày 13/8/2015</t>
  </si>
  <si>
    <t>BVLV 10/2015</t>
  </si>
  <si>
    <t>Nguyễn Trung Thành</t>
  </si>
  <si>
    <t>03/5/1984</t>
  </si>
  <si>
    <t>Nguyễn Thị Hương Giang</t>
  </si>
  <si>
    <t>28/7/1974</t>
  </si>
  <si>
    <t>ĐH Thái Nguyên</t>
  </si>
  <si>
    <t>Giáo dục thể chất</t>
  </si>
  <si>
    <t>Toán giải tích</t>
  </si>
  <si>
    <t>ĐH Xây dựng</t>
  </si>
  <si>
    <t>ĐH Sư phạm HN 2</t>
  </si>
  <si>
    <t>Nguyễn Thị Mai Anh</t>
  </si>
  <si>
    <t>HP năm 2014-2015</t>
  </si>
  <si>
    <t>GDục thể chất</t>
  </si>
  <si>
    <t>Nguyễn Thị Hồng Hoa</t>
  </si>
  <si>
    <t>Trưởng phòng TCHC</t>
  </si>
  <si>
    <t>606/QĐ-UBND ngày 01/02/2011</t>
  </si>
  <si>
    <t>Trường ĐH 
Quốc gia</t>
  </si>
  <si>
    <t>ĐH Giáo dục</t>
  </si>
  <si>
    <t>Nguyễn Văn Hải</t>
  </si>
  <si>
    <t>15/8/1975</t>
  </si>
  <si>
    <t>HP kỳ 1 2015-2016 - Biên lai 446</t>
  </si>
  <si>
    <t>hồ sơ T3 - Không có thông tin biểu cũ, không có quyết định</t>
  </si>
  <si>
    <t>NCS 2011-2014</t>
  </si>
  <si>
    <t>04/04/1981</t>
  </si>
  <si>
    <t>4180//QĐ-UBND ngày 25/9/2012</t>
  </si>
  <si>
    <t>Tài chính</t>
  </si>
  <si>
    <t>Đại học Thượng Hải</t>
  </si>
  <si>
    <t>Thời điểm hết hỗ trợ 07/2016 (theo quyết định 4180//QĐ-UBND ngày 25/9/2012)
Tính giá USD (vietcombank 25/7/16) = 22260</t>
  </si>
  <si>
    <t>HP năm 2014-2015 &amp; 2015-2016</t>
  </si>
  <si>
    <t>Nguyễn Phương Anh</t>
  </si>
  <si>
    <t>18/9/1982</t>
  </si>
  <si>
    <t>7055/QĐ-UBND ngày 22/12/2015</t>
  </si>
  <si>
    <t xml:space="preserve">Kỹ thuật điện tử </t>
  </si>
  <si>
    <t>HP đợt 1 + Lệ phí nhập học</t>
  </si>
  <si>
    <t>Phạm Lan Anh</t>
  </si>
  <si>
    <t>02/01/1972</t>
  </si>
  <si>
    <t>Giảng viên tiếng Anh</t>
  </si>
  <si>
    <t>01/QĐ-UBND ngày 01/8/2008</t>
  </si>
  <si>
    <t>BVLV 24/8/2016</t>
  </si>
  <si>
    <t>Tạ Dũng Trí</t>
  </si>
  <si>
    <t>0936563555
BVLV 31/8/2015</t>
  </si>
  <si>
    <t>HP 2014-15, 2013-2014 (2 kỳ)
2012-13 (1 kỳ)
BVLV 18/3/2015</t>
  </si>
  <si>
    <t>BVLV 23/2/2016</t>
  </si>
  <si>
    <t>Vũ Minh Hùng</t>
  </si>
  <si>
    <t>28/8/1983</t>
  </si>
  <si>
    <t>4426/QĐ - UBND ngày 04/9/2015</t>
  </si>
  <si>
    <t>Nguyễn Thị Thu Hà</t>
  </si>
  <si>
    <t>13/7/1976</t>
  </si>
  <si>
    <t xml:space="preserve">Phó Trưởng ban Dân tộc </t>
  </si>
  <si>
    <t>4424/QĐ-UBND ngày 04/9/2015</t>
  </si>
  <si>
    <t xml:space="preserve">HP K2014-16 + đợt cuối </t>
  </si>
  <si>
    <t>Ngày nhập liệu</t>
  </si>
  <si>
    <t>HP năm 3 + 4</t>
  </si>
  <si>
    <t>Giảng viên GDTC&amp;NT</t>
  </si>
  <si>
    <t>5969/QĐ-UBND ngày 20/12/2012</t>
  </si>
  <si>
    <t xml:space="preserve">Khoa học giáo dục </t>
  </si>
  <si>
    <t>Trường ĐH Thể dục thể thao Bắc Ninh</t>
  </si>
  <si>
    <t>BVLV 20/12/2014</t>
  </si>
  <si>
    <t>BVLV 02/12/2014</t>
  </si>
  <si>
    <t>Nguyễn Thị Yến Thoa</t>
  </si>
  <si>
    <t>15/01/1974</t>
  </si>
  <si>
    <t>Giảng viên TLGD</t>
  </si>
  <si>
    <t>144/QĐ-UBND ngày13/01/2010</t>
  </si>
  <si>
    <t xml:space="preserve">Đào tạo </t>
  </si>
  <si>
    <t>BVLV 26/01/2016</t>
  </si>
  <si>
    <t>Giảng viên GDCT</t>
  </si>
  <si>
    <t>Lương Hiền Khanh</t>
  </si>
  <si>
    <t>27/7/1979</t>
  </si>
  <si>
    <t>GD Tiểu học</t>
  </si>
  <si>
    <t>5440/QĐ-UBND, ngày 22/11/2011</t>
  </si>
  <si>
    <t>14/3/1982</t>
  </si>
  <si>
    <t>Trưởng phòng HC-QT</t>
  </si>
  <si>
    <t>4426/QĐ-UBND, ngày 04/9/2015</t>
  </si>
  <si>
    <t>HP CH TT K22 + đợt 1 - QLKT (HK 3,4 bổ sung)</t>
  </si>
  <si>
    <t xml:space="preserve">Vũ Thúy Hoàn </t>
  </si>
  <si>
    <t xml:space="preserve">HP đợt 1 khóa 4 (2014-2017) + đợt 2 + Lệ phí hỗ trợ đào tạo </t>
  </si>
  <si>
    <t>Trương Đức Phương</t>
  </si>
  <si>
    <t>20/03/1977</t>
  </si>
  <si>
    <t xml:space="preserve">Giảng viên Khoa CNTT </t>
  </si>
  <si>
    <t>3981/QĐ-UBND ngày 13/8/2015</t>
  </si>
  <si>
    <t xml:space="preserve">Hệ thống thông tin </t>
  </si>
  <si>
    <t>HP năm 2015, 2016</t>
  </si>
  <si>
    <t>Nguyễn Thị Thanh Hòa</t>
  </si>
  <si>
    <t>18//11/1983</t>
  </si>
  <si>
    <t>1142/QĐ-UBND ngày 11/3/2016</t>
  </si>
  <si>
    <t xml:space="preserve">Văn hóa học </t>
  </si>
  <si>
    <t xml:space="preserve">ĐH Văn hóa HN </t>
  </si>
  <si>
    <t>HP năm 2016-2017, Hỗ trợ ĐT + HP 2015-2016+Hp bổ sung theo NDD86/CP</t>
  </si>
  <si>
    <t xml:space="preserve">Bùi Thị Hồng Minh </t>
  </si>
  <si>
    <t>2752/QĐ-UBND ngày 23/5/2014</t>
  </si>
  <si>
    <t xml:space="preserve">Tâm lý học </t>
  </si>
  <si>
    <t xml:space="preserve">Học viên Khoa học xã hội </t>
  </si>
  <si>
    <t>HP đợt 1 +HP(2015-2016)</t>
  </si>
  <si>
    <t>HP (25/12/2015)</t>
  </si>
  <si>
    <t>HP(2015,2016)</t>
  </si>
  <si>
    <t>Hp NCS đợt 1  + 2015-2016</t>
  </si>
  <si>
    <t>Lê Chí Chung</t>
  </si>
  <si>
    <t>11/01/1984</t>
  </si>
  <si>
    <t>7044/QĐ-UBND ngày 22/12/2015</t>
  </si>
  <si>
    <t>Khoa học máy tính</t>
  </si>
  <si>
    <t>Đinh Diệu Thúy</t>
  </si>
  <si>
    <t>01/5/1985</t>
  </si>
  <si>
    <t>7045/QĐ-UBND ngày 22/12/2015</t>
  </si>
  <si>
    <t xml:space="preserve">Quản lý Giáo dục </t>
  </si>
  <si>
    <t>HP đợt 1</t>
  </si>
  <si>
    <t>HP đợt 1 + Hp bổ sung</t>
  </si>
  <si>
    <t>HP2015-2016</t>
  </si>
  <si>
    <t>Nguyễn Thanh Tâm</t>
  </si>
  <si>
    <t>18/11/1985</t>
  </si>
  <si>
    <t>Viên chức TT Thư viện thông tin</t>
  </si>
  <si>
    <t>7046/QĐ-UBND ngày 22/12/2015</t>
  </si>
  <si>
    <t>Quản lý báo chí truyền thông</t>
  </si>
  <si>
    <t xml:space="preserve">Học viện Báo chí và Tuyên truyền </t>
  </si>
  <si>
    <t xml:space="preserve">HP năm 1 </t>
  </si>
  <si>
    <t>HP (30/9/2014)</t>
  </si>
  <si>
    <t>Nguyễn Ngọc Vinh</t>
  </si>
  <si>
    <t>23/10/1984</t>
  </si>
  <si>
    <t xml:space="preserve">Viên chức TT Thư viện Thông tin </t>
  </si>
  <si>
    <t>7056/QĐ-UBND ngày 22/12/2015</t>
  </si>
  <si>
    <t xml:space="preserve">Công nghệ thông tin </t>
  </si>
  <si>
    <t xml:space="preserve">ĐH Điện lực </t>
  </si>
  <si>
    <t>HP(2015-16)</t>
  </si>
  <si>
    <t xml:space="preserve">Dương Thị Thu Trang </t>
  </si>
  <si>
    <t xml:space="preserve">CV Phòng công tác học sinh, sinh viên </t>
  </si>
  <si>
    <t>3894/QĐ-UBND ngày 13/8/2015</t>
  </si>
  <si>
    <t>Viện hàn lâm Khoa học XH Việt Nam</t>
  </si>
  <si>
    <t xml:space="preserve">HP2015-2016 + hỗ trợ đào tạo </t>
  </si>
  <si>
    <t>HP đợt 2 + 1</t>
  </si>
  <si>
    <t>Hp đợt 2, 3 năm 2015-2016</t>
  </si>
  <si>
    <t>Đại học Thủ đô</t>
  </si>
  <si>
    <t>Sở tài chính</t>
  </si>
  <si>
    <t>HP kỳ II(2014-2015)+HP kỳ I(2015-2016) , HP kỳ II*2015-2016) , HP kỳ II (2014-2015)</t>
  </si>
  <si>
    <t>Kiều Hà Phương</t>
  </si>
  <si>
    <t>BVLV 18/3/2016</t>
  </si>
  <si>
    <t xml:space="preserve">Nguyễn Anh Nguyên </t>
  </si>
  <si>
    <t>02/12/1982</t>
  </si>
  <si>
    <t>Chuyên viên Phòng Quản lý điện năng</t>
  </si>
  <si>
    <t>715/QĐ-UBND, ngày 24/01/2014</t>
  </si>
  <si>
    <t xml:space="preserve">Quản lý năng lượng </t>
  </si>
  <si>
    <t xml:space="preserve">Đại học Điện lực </t>
  </si>
  <si>
    <t>HP đợt 1, đợt 2. đợt 3</t>
  </si>
  <si>
    <t>Đỗ Trọng Hùng</t>
  </si>
  <si>
    <t>11/3/1980</t>
  </si>
  <si>
    <t xml:space="preserve">Chuyên viên Phòng kinh tế đối ngoại </t>
  </si>
  <si>
    <t>716/QĐ-UBND, ngày 24/01/2014</t>
  </si>
  <si>
    <t>Quản trị kinh doanh</t>
  </si>
  <si>
    <t>BVLV18/3/2016</t>
  </si>
  <si>
    <t>BVLV 29/3/2016</t>
  </si>
  <si>
    <t>BVLV 9/11/2015</t>
  </si>
  <si>
    <t>BVLV 23/6/2015</t>
  </si>
  <si>
    <t>BVLV 01/2/2016</t>
  </si>
  <si>
    <t>BVLV 15/10/2015</t>
  </si>
  <si>
    <t>BVLV 20/4/2016</t>
  </si>
  <si>
    <t>Lê Văn Đoàn</t>
  </si>
  <si>
    <t>16/12/1985</t>
  </si>
  <si>
    <t>CV Phòng TCKH</t>
  </si>
  <si>
    <t>7040/QĐ-UBND ngày 22/12/2015</t>
  </si>
  <si>
    <t>Nguyễn Thế Hưng</t>
  </si>
  <si>
    <t>08/11/1990</t>
  </si>
  <si>
    <t xml:space="preserve">VC BQLDA </t>
  </si>
  <si>
    <t>7035/QĐ-UBND ngày 22/12/2015</t>
  </si>
  <si>
    <t xml:space="preserve">Đinh Phúc Bền </t>
  </si>
  <si>
    <t>20/3/1978</t>
  </si>
  <si>
    <t>VP HĐND-UBND</t>
  </si>
  <si>
    <t>7036/QĐ-UBND ngày 22/12/2015</t>
  </si>
  <si>
    <t>Lê Đức Anh</t>
  </si>
  <si>
    <t>26/8/1989</t>
  </si>
  <si>
    <t xml:space="preserve">Viên chức BQLDA </t>
  </si>
  <si>
    <t>7041/QĐ-UBND ngày 22/12/2015</t>
  </si>
  <si>
    <t>Nguyễn Ngọc Chí Thành</t>
  </si>
  <si>
    <t>21/3/1983</t>
  </si>
  <si>
    <t>CV VP HĐND-UBND</t>
  </si>
  <si>
    <t>7039/QĐ-UBND ngày 22/12/2015</t>
  </si>
  <si>
    <t>Quản lý xây dựng</t>
  </si>
  <si>
    <t>Lê Quang Hòa</t>
  </si>
  <si>
    <t>27/9/1978</t>
  </si>
  <si>
    <t xml:space="preserve">Phó TP Quản lý đô thị </t>
  </si>
  <si>
    <t>1126/QĐ-UBND ngày 11/3/2016</t>
  </si>
  <si>
    <t>Quản lý đô thị &amp; Công trình</t>
  </si>
  <si>
    <t xml:space="preserve">Trần Ngọc Cử </t>
  </si>
  <si>
    <t xml:space="preserve">CV phòng Nội vụ </t>
  </si>
  <si>
    <t>7038/QĐ-UBND ngày 22/12/2015</t>
  </si>
  <si>
    <t xml:space="preserve">HV Khoa học xã hội </t>
  </si>
  <si>
    <t>HP CH2015 + Hỗ trợ ĐT</t>
  </si>
  <si>
    <t>Hoàng Hữu Phương</t>
  </si>
  <si>
    <t>25/12/1981</t>
  </si>
  <si>
    <t>7037/QĐ-UBND ngày 22/12/2015</t>
  </si>
  <si>
    <t>Bùi Văn Khoa</t>
  </si>
  <si>
    <t>29/01/1977</t>
  </si>
  <si>
    <t>4616/QĐ-UBND ngày 24/8/2016</t>
  </si>
  <si>
    <t>Xây dựng Đảng và CQ NN</t>
  </si>
  <si>
    <t>Học viện Chính trị - Bộ Quốc phòng</t>
  </si>
  <si>
    <t>HP đợt 1 + Hỗ trợ ĐT</t>
  </si>
  <si>
    <t>Nguyễn Thị Phượng</t>
  </si>
  <si>
    <t>29/3/1986</t>
  </si>
  <si>
    <t>VC TT phát triển quỹ đất</t>
  </si>
  <si>
    <t>7048/QĐ-UBND ngày 22/12/2015</t>
  </si>
  <si>
    <t xml:space="preserve">Kinh tế chính trị </t>
  </si>
  <si>
    <t>HV chính trị - Bộ Quốc phòng</t>
  </si>
  <si>
    <t>Mới 
HP đợt 1 + Hỗ trợ ĐT</t>
  </si>
  <si>
    <t>HP đợt 2 (2014-2016) + Hỗ trợ ĐT</t>
  </si>
  <si>
    <t>ĐƠN VỊ CHƯA NỘP HỒ SƠ QUỸ HỖ TRỢ NĂM 2016</t>
  </si>
  <si>
    <t xml:space="preserve">Trần Thị Minh Nguyệt </t>
  </si>
  <si>
    <t>20/5/1977</t>
  </si>
  <si>
    <t xml:space="preserve">Phó ban Kinh tế </t>
  </si>
  <si>
    <t>3879/QĐ-UBND ngày 13/8/2015</t>
  </si>
  <si>
    <t>HP kỳ 3,4 +2015</t>
  </si>
  <si>
    <t xml:space="preserve">Đỗ Hoàng Anh </t>
  </si>
  <si>
    <t>17/10/1982</t>
  </si>
  <si>
    <t xml:space="preserve">Phó Chánh VP </t>
  </si>
  <si>
    <t>Quản trị Hành chính công</t>
  </si>
  <si>
    <t>Đại học Quốc Gia Úc</t>
  </si>
  <si>
    <t xml:space="preserve">Phạm Văn Tân </t>
  </si>
  <si>
    <t>2152/QĐ-UBND ngày 19/11/2018</t>
  </si>
  <si>
    <t>2748/QĐ-UBND ngày 23/5/2014</t>
  </si>
  <si>
    <t>Ngoại tiêu hóa</t>
  </si>
  <si>
    <t>Học viện Quân Y</t>
  </si>
  <si>
    <t>HP năm 2,3,4</t>
  </si>
  <si>
    <t>HP 2014-2015, 2015-2016</t>
  </si>
  <si>
    <t xml:space="preserve">HP năm 2 (2015-2016) + Hp bổ sung + HP năm 1 </t>
  </si>
  <si>
    <t>Huỳnh Nam Trung</t>
  </si>
  <si>
    <t>11/7/1982</t>
  </si>
  <si>
    <t>1141/QĐ-UBND ngày 11/3/2016</t>
  </si>
  <si>
    <t>ĐH Điều dưỡng Nam Định</t>
  </si>
  <si>
    <t>BVLV 28/3/2016</t>
  </si>
  <si>
    <t>HP năm 2015-2016</t>
  </si>
  <si>
    <t>Đặng Hương Giang</t>
  </si>
  <si>
    <t>21/7/1968</t>
  </si>
  <si>
    <t>1089/QĐ-UBND ngày 08/3/2012</t>
  </si>
  <si>
    <t>Dịch tễ học</t>
  </si>
  <si>
    <t>Viện Vệ sinh dịch tễ Trung ương</t>
  </si>
  <si>
    <t xml:space="preserve">HP 2015 + Hỗ trợ đào tạo </t>
  </si>
  <si>
    <t>HP 2015 +Hỗ trợ ĐT</t>
  </si>
  <si>
    <t>Nguyễn Thị Thanh Tâm</t>
  </si>
  <si>
    <t>5444/QĐ-UBND ngày 22/11/2011</t>
  </si>
  <si>
    <t>Lý luận lịch sử NN&amp;PL</t>
  </si>
  <si>
    <t>Bùi Thị Thúy Mơ</t>
  </si>
  <si>
    <t>16/8/1977</t>
  </si>
  <si>
    <t>Phó phòng VB pháp quy</t>
  </si>
  <si>
    <t>7043/QĐ-UBND, ngày 22/12/2015</t>
  </si>
  <si>
    <t xml:space="preserve">Luật </t>
  </si>
  <si>
    <t>HP CH 2015-2016 + Tiền tài liệu</t>
  </si>
  <si>
    <t>HP CH 2014 - 2015, 2015-2016 + HTĐT</t>
  </si>
  <si>
    <t>HP 2015-2016 + BSKT 3 môn +Tài liệu học tập</t>
  </si>
  <si>
    <t>Sền Thị Hiền</t>
  </si>
  <si>
    <t>14/11/1987</t>
  </si>
  <si>
    <t>7050/QĐ-UBND ngày 22/12/2015</t>
  </si>
  <si>
    <t>Nhân học</t>
  </si>
  <si>
    <t>ĐH KHXH &amp; NV</t>
  </si>
  <si>
    <t>HP đợt 2 +3 + ngoài giờ</t>
  </si>
  <si>
    <t>Lệ phí TS + HP 2015-2016 + HP 2014</t>
  </si>
  <si>
    <t>LP tốt nghiệp + HP đợt 1+2+3 (CT liên kết học tại VN)</t>
  </si>
  <si>
    <t>HP 2014-2015 = HTĐT +phí nhập học + Thi CH2014 + HP lần 2</t>
  </si>
  <si>
    <t>HP 2015-2016 + HTĐT</t>
  </si>
  <si>
    <t xml:space="preserve">HP năm 1 + kỳ 2 năm 2014-2015 + kỳ 1,2 2015-2016 </t>
  </si>
  <si>
    <t>HPĐT đợt 1 +HP năm 2</t>
  </si>
  <si>
    <t xml:space="preserve">HP đợt 1+2 </t>
  </si>
  <si>
    <t xml:space="preserve">Đỗ Thị Hải Yến </t>
  </si>
  <si>
    <t>12/2/1976</t>
  </si>
  <si>
    <t>7033/QĐ-UBND  ngày 22/12/2015</t>
  </si>
  <si>
    <t>Quản lý Giáo dục</t>
  </si>
  <si>
    <r>
      <t>Tiền hỗ trợ chuyển thừa (</t>
    </r>
    <r>
      <rPr>
        <b/>
        <sz val="7"/>
        <color indexed="10"/>
        <rFont val="Times New Roman"/>
        <family val="1"/>
      </rPr>
      <t>xem chi tiết công nợ)</t>
    </r>
  </si>
  <si>
    <t xml:space="preserve">Nguyễn Thị Năm </t>
  </si>
  <si>
    <t>20/9/1081</t>
  </si>
  <si>
    <t>5426/QĐ-UBND  ngày 16/10/2015</t>
  </si>
  <si>
    <t>HV Nông nghiệp VN</t>
  </si>
  <si>
    <t>Khúc Thị Thúy</t>
  </si>
  <si>
    <t>CC phòng Nội vụ</t>
  </si>
  <si>
    <t>5425/QĐ-UBND  ngày 16/10/2015</t>
  </si>
  <si>
    <t>HV Hậu cần</t>
  </si>
  <si>
    <t>HP kỳ 1 năm 2016-2017 + kỳ 1+ 2 năm 2015-2016</t>
  </si>
  <si>
    <t>HP kỳ 2 năm 2015-2016 + kỳ 1+2 năm 2014-2015</t>
  </si>
  <si>
    <t>HP kỳ 2 2014-2015 + kỳ 1,2 2015-2016</t>
  </si>
  <si>
    <t>HP năm 2  2015-2016 + HPBS</t>
  </si>
  <si>
    <t xml:space="preserve">HP cao học đợt 2 </t>
  </si>
  <si>
    <t xml:space="preserve">HP kỳ 4 năm 2015-2016; kỳ 2,3 năm 2014-2015 </t>
  </si>
  <si>
    <t>HP 2015-2016, 2014-2015</t>
  </si>
  <si>
    <t>Nguyễn Thị Thanh Huyền</t>
  </si>
  <si>
    <t>BVLV 20/10/2015</t>
  </si>
  <si>
    <t>Nguyễn Phương Nhàn</t>
  </si>
  <si>
    <t>28/7/1987</t>
  </si>
  <si>
    <t>GV Trường THPT Vân Cốc</t>
  </si>
  <si>
    <t>3914/QĐ-UBND, ngày 13/8/2015</t>
  </si>
  <si>
    <t>Hóa học</t>
  </si>
  <si>
    <t>Trần Thị Kim Nhung</t>
  </si>
  <si>
    <t>28/12/1977</t>
  </si>
  <si>
    <t>GV Trường THPT Mỹ Đức B</t>
  </si>
  <si>
    <t>3934/QĐ-UBND, ngày 13/8/2015</t>
  </si>
  <si>
    <t xml:space="preserve">Phạm Thị Hạnh </t>
  </si>
  <si>
    <t>15/3/1979</t>
  </si>
  <si>
    <t>GV Trường THPT Yên Viên</t>
  </si>
  <si>
    <t>3928/QĐ-UBND, ngày 13/8/2015</t>
  </si>
  <si>
    <t>Nguyễn Minh Thông</t>
  </si>
  <si>
    <t>13/2/1978</t>
  </si>
  <si>
    <t>GV Trường THPT Thanh Oai A</t>
  </si>
  <si>
    <t>3923/QĐ-UBND, ngày 13/8/2015</t>
  </si>
  <si>
    <t>Bùi Thị Mai</t>
  </si>
  <si>
    <t>31/1/1979</t>
  </si>
  <si>
    <t>3908/QĐ-UBND, ngày 13/8/2015</t>
  </si>
  <si>
    <t>Anh văn</t>
  </si>
  <si>
    <t>ĐH Ngoại ngữ - ĐHQG</t>
  </si>
  <si>
    <t>Vũ Thị Anh Đào</t>
  </si>
  <si>
    <t>20/10/1979</t>
  </si>
  <si>
    <t>Trường Tiểu học Nam Trung Yên</t>
  </si>
  <si>
    <t>1127/QĐ-UBND ngày 11/3/2016</t>
  </si>
  <si>
    <t>TT Xúc tiến ĐTMDL Thành phố</t>
  </si>
  <si>
    <t>Trương Thị Ngọc Loan</t>
  </si>
  <si>
    <t>09/7/1981</t>
  </si>
  <si>
    <t>Trường Mầm non Hoa Mai</t>
  </si>
  <si>
    <t>1129/QĐ-UBND ngày 11/3/2016</t>
  </si>
  <si>
    <t>Hoàng Kim Anh</t>
  </si>
  <si>
    <t xml:space="preserve">THCS Nam Trung Yên </t>
  </si>
  <si>
    <t>1128/QĐ-UBND ngày 11/3/2016</t>
  </si>
  <si>
    <t>Tạ Thu Chè</t>
  </si>
  <si>
    <t>05/6/1979</t>
  </si>
  <si>
    <t>1130/QĐ-UBND ngày 11/3/2016</t>
  </si>
  <si>
    <t>HP đợt 1+2</t>
  </si>
  <si>
    <t>Trần Cẩm Anh</t>
  </si>
  <si>
    <t>HP kỳ 3+4 +HPCHKTT</t>
  </si>
  <si>
    <t>HỎI CHỊ HOA ĐÀO TẠO</t>
  </si>
  <si>
    <t>HP đợt 3+4</t>
  </si>
  <si>
    <t>Lê Đức Hậu</t>
  </si>
  <si>
    <t>THPT Quang Minh</t>
  </si>
  <si>
    <t>Nguyễn Văn Thiệu</t>
  </si>
  <si>
    <t>THPT Tiền Phong</t>
  </si>
  <si>
    <t>THPT Xuân Đỉnh</t>
  </si>
  <si>
    <t>Vũ Thị Thu Hà</t>
  </si>
  <si>
    <t>Nguyển Thị Thuỳ</t>
  </si>
  <si>
    <t>THPT Trần Đăng Ninh</t>
  </si>
  <si>
    <t>Nguyễn Văn Quảng</t>
  </si>
  <si>
    <t>Hồ Văn Quân</t>
  </si>
  <si>
    <t>Phạm Thị Nhinh</t>
  </si>
  <si>
    <t>THPT Quang Trung-ĐĐ</t>
  </si>
  <si>
    <t>THPT Chúc Động</t>
  </si>
  <si>
    <t>Nguyễn Thị Oanh</t>
  </si>
  <si>
    <t>THPT Trung Gĩa</t>
  </si>
  <si>
    <t>Đỗ Ngọc Nam</t>
  </si>
  <si>
    <t>Nguyễn Thị Uyên</t>
  </si>
  <si>
    <t>THPT Thanh Oai A</t>
  </si>
  <si>
    <t>Lưu Quang Văn</t>
  </si>
  <si>
    <t>THPT Hồng Thái</t>
  </si>
  <si>
    <t>Tạ Thị Thuỷ</t>
  </si>
  <si>
    <t>Bùi Thu Phương</t>
  </si>
  <si>
    <t>THPT Quang Trung-HĐ</t>
  </si>
  <si>
    <t>Trần Thị Hà</t>
  </si>
  <si>
    <t>THPT Sơn Tây</t>
  </si>
  <si>
    <t>Phan Thị Tuyết Nhung</t>
  </si>
  <si>
    <t>Nguyễn Bích Thuỷ</t>
  </si>
  <si>
    <t>Nguyễn Thị Kiều Oanh</t>
  </si>
  <si>
    <t>THPT Yên Viên</t>
  </si>
  <si>
    <t>Dương Ngọc Ánh</t>
  </si>
  <si>
    <t>Nguyễn Thị Hồng Phước</t>
  </si>
  <si>
    <t>GDTX Thường Tín</t>
  </si>
  <si>
    <t>Đinh Công Đồng</t>
  </si>
  <si>
    <t xml:space="preserve"> THPT Lưu Hoàng</t>
  </si>
  <si>
    <t>Nguyễn Thế Bắc</t>
  </si>
  <si>
    <t xml:space="preserve">Lê Thị Lịch </t>
  </si>
  <si>
    <t>Tạ Đăng Khoa</t>
  </si>
  <si>
    <t>Hoàng Thị Huyền</t>
  </si>
  <si>
    <t>THPT Vân Cốc</t>
  </si>
  <si>
    <t xml:space="preserve">Hoàng Thị Duyên </t>
  </si>
  <si>
    <t>Trần Thị Ngọc Hà</t>
  </si>
  <si>
    <t>GDTX Hoàng Mai</t>
  </si>
  <si>
    <t>Trần Thị Kim Tuyến</t>
  </si>
  <si>
    <t>THPT Đa phúc</t>
  </si>
  <si>
    <t>Phạm Thị Hường</t>
  </si>
  <si>
    <t>Nguyễn Thị Mai Phương</t>
  </si>
  <si>
    <t>Đỗ Thị Nghĩa</t>
  </si>
  <si>
    <t>THPT Ngọc Tảo</t>
  </si>
  <si>
    <t>Trần Thị Thường</t>
  </si>
  <si>
    <t>Vũ Viết Hưng</t>
  </si>
  <si>
    <t>Hà Huy Thích</t>
  </si>
  <si>
    <t>Đỗ Phương Thuỳ</t>
  </si>
  <si>
    <t>GDTX Sơn Tây</t>
  </si>
  <si>
    <t>Vũ Thị Thu Trang</t>
  </si>
  <si>
    <t>THPT Xuân Mai</t>
  </si>
  <si>
    <t>Mai Thị Hiền</t>
  </si>
  <si>
    <t>THPT Ứng Hoà B</t>
  </si>
  <si>
    <t>Nguyễn Khánh Dương</t>
  </si>
  <si>
    <t>THPT Mỹ Đức B</t>
  </si>
  <si>
    <t>Nguyễn Thị Xuân Quỳnh</t>
  </si>
  <si>
    <t>GDTX Thanh Xuân</t>
  </si>
  <si>
    <t>Đàm Thị Thảo</t>
  </si>
  <si>
    <t>Nguyễn Tường Minh</t>
  </si>
  <si>
    <t>Phạm Huy Thiệp</t>
  </si>
  <si>
    <t>Nguyễn Thị Thanh Hằng</t>
  </si>
  <si>
    <t>Nguyễn Thị Mỹ Lệ</t>
  </si>
  <si>
    <t>Nguyễn Thị Thanh Thuý</t>
  </si>
  <si>
    <t>Chu Trọng Kính</t>
  </si>
  <si>
    <t>THPT Ngô Quyền - Ba Vì</t>
  </si>
  <si>
    <t>Vũ Đức Vượng</t>
  </si>
  <si>
    <t>THPT Thạch Thất</t>
  </si>
  <si>
    <t>Hoàng Thị Hiên</t>
  </si>
  <si>
    <t>THPT Liên Hà</t>
  </si>
  <si>
    <t>Phạm Tiến Độ</t>
  </si>
  <si>
    <t>THPT Lưu Hoàng</t>
  </si>
  <si>
    <t>Trần Quang Vui</t>
  </si>
  <si>
    <t>Trần Thị Thu Phương</t>
  </si>
  <si>
    <t>THPT Kim Liên</t>
  </si>
  <si>
    <t>Nguyễn Đình Chiến</t>
  </si>
  <si>
    <t>Sở GD&amp;ĐT Hà Nội</t>
  </si>
  <si>
    <t>Đinh Anh Tú</t>
  </si>
  <si>
    <t>THPT Đan Phượng</t>
  </si>
  <si>
    <t>Đặng Thị Hằng</t>
  </si>
  <si>
    <t>THPT Ứng Hoà A</t>
  </si>
  <si>
    <t>Nguyễn Thị Hạnh</t>
  </si>
  <si>
    <t>THPT Đại Mỗ</t>
  </si>
  <si>
    <t>Nguyễn Thị Lan Hương</t>
  </si>
  <si>
    <t>THPT Ba Vì</t>
  </si>
  <si>
    <t>Đặng Viết Mạnh</t>
  </si>
  <si>
    <t>Bùi Thị Xuân</t>
  </si>
  <si>
    <t>Nguyễn Thành Biên</t>
  </si>
  <si>
    <t>Phạm Tuấn Tài</t>
  </si>
  <si>
    <t>THPT Chu Văn An</t>
  </si>
  <si>
    <t>Lê Thị Diệp</t>
  </si>
  <si>
    <t>Lê Thị Nga</t>
  </si>
  <si>
    <t>Hồ Thanh Huyền</t>
  </si>
  <si>
    <t>THPT Trần Nhân Tông</t>
  </si>
  <si>
    <t>Đinh Lệ Giang</t>
  </si>
  <si>
    <t>Đỗ Thị Li</t>
  </si>
  <si>
    <t>Phạm Thị Nga</t>
  </si>
  <si>
    <t>Quách Thành Sơn</t>
  </si>
  <si>
    <t>Trường TC Estih</t>
  </si>
  <si>
    <t>TTGDTX Sóc Sơn</t>
  </si>
  <si>
    <t>Vũ Ngọc Tú</t>
  </si>
  <si>
    <t>Trường DTNT</t>
  </si>
  <si>
    <t>HP2014+HTĐT+phí Phản biện lần 2</t>
  </si>
  <si>
    <t>28/01/1981</t>
  </si>
  <si>
    <t>Phó Trưởng khoa Sư phạm dạy nghề</t>
  </si>
  <si>
    <t>5428/QĐ-UBND ngày 16/10/2015</t>
  </si>
  <si>
    <t>BL HP2015-2016</t>
  </si>
  <si>
    <t>HP đợt 1 2014-2015 + năm phí thứ 3, năm 2</t>
  </si>
  <si>
    <t>Lê Đăng Khoa</t>
  </si>
  <si>
    <t>11/2/1981</t>
  </si>
  <si>
    <t xml:space="preserve">Phó Hiệu trưởng THPT Hợp Thanh </t>
  </si>
  <si>
    <t>3949/QĐ-UBND, ngày 13/8/2015</t>
  </si>
  <si>
    <t>Đặng Trần Xuân</t>
  </si>
  <si>
    <t>17/5/1977</t>
  </si>
  <si>
    <t>CV Phòng GD Trung học</t>
  </si>
  <si>
    <t>3947/QĐ-UBND, ngày 13/8/2015</t>
  </si>
  <si>
    <t>Tiến sỹ</t>
  </si>
  <si>
    <t>HP đợt 1+2015-2016+bổ sung học phần</t>
  </si>
  <si>
    <t>BVLV 30/7/2015</t>
  </si>
  <si>
    <t>HP kỳ 2+1+3</t>
  </si>
  <si>
    <t xml:space="preserve">HP2014 </t>
  </si>
  <si>
    <t>HP kỳ 1, HP năm 2</t>
  </si>
  <si>
    <t>Nguyễn Đăng Tân</t>
  </si>
  <si>
    <t>05/8/1981</t>
  </si>
  <si>
    <t>1138/QĐ-UBND ngày 11/3/2016</t>
  </si>
  <si>
    <t>Lê Thị Vân</t>
  </si>
  <si>
    <t>07/6/1978</t>
  </si>
  <si>
    <t>1139/QĐ-UBND ngày 11/3/2016</t>
  </si>
  <si>
    <t xml:space="preserve">Du lịch </t>
  </si>
  <si>
    <t>ĐH khoa học Xã hội và nhân văn</t>
  </si>
  <si>
    <t>Dư Thị Hòa Bình</t>
  </si>
  <si>
    <t>26/3/1983</t>
  </si>
  <si>
    <t>4425/QĐ-UBND ngày 4/9/2015</t>
  </si>
  <si>
    <t>Đại số và Lý thuyết số</t>
  </si>
  <si>
    <t>ĐH Quy Nhơn</t>
  </si>
  <si>
    <t>Đỗ Thị Thúy Nga</t>
  </si>
  <si>
    <t>07/9/1979</t>
  </si>
  <si>
    <t>4427/QĐ-UBND ngày 4/9/2015</t>
  </si>
  <si>
    <t>ĐH Kinh tế quốc dân</t>
  </si>
  <si>
    <t>Lê Thị Lan Anh</t>
  </si>
  <si>
    <t>27/2/1987</t>
  </si>
  <si>
    <t>Giảng viên khoa Tự nhiên</t>
  </si>
  <si>
    <t>1140/QĐ-UBND ngày 11/3/2016</t>
  </si>
  <si>
    <t>Vũ Toàn Thắng</t>
  </si>
  <si>
    <t>4439/QĐ-UBND ngày 04/9/2015</t>
  </si>
  <si>
    <t>HV Chính trị - Bộ Quốc phòng</t>
  </si>
  <si>
    <t>Phạm Thị Phượng</t>
  </si>
  <si>
    <t>19/02/1986</t>
  </si>
  <si>
    <t>Phó phòng Kế hoạch Tài chính</t>
  </si>
  <si>
    <t>Giảng viên khoa Xã hội</t>
  </si>
  <si>
    <t>4565/QĐ-UBND ngày 23/8/2016</t>
  </si>
  <si>
    <t>Việt Nam học</t>
  </si>
  <si>
    <t>Nguyễn Thị Thúy Hà</t>
  </si>
  <si>
    <t>03/6/1977</t>
  </si>
  <si>
    <t>CV Phòng Đăng ký Kinh doanh</t>
  </si>
  <si>
    <t>3553/QĐ-UBND ngày 28/6/2016</t>
  </si>
  <si>
    <t>Viện Chính sách công và Quản lý</t>
  </si>
  <si>
    <t>HP 15/3/2016</t>
  </si>
  <si>
    <t>23/41980</t>
  </si>
  <si>
    <t>1981/QĐ-UBND, ngày 15/4/2014</t>
  </si>
  <si>
    <t>Vật lý</t>
  </si>
  <si>
    <t>03/11/1979</t>
  </si>
  <si>
    <t>1952/QĐ-UBND, ngày 15/4/2014</t>
  </si>
  <si>
    <t>07/7/1977</t>
  </si>
  <si>
    <t>3899/QĐ-UBND, ngày 13/8/2015</t>
  </si>
  <si>
    <t>Địa lý</t>
  </si>
  <si>
    <t>HP đợt 2+1 + Lệ phí CH+Ôn thi</t>
  </si>
  <si>
    <t>3951/QĐ-UBND, ngày 13/8/2015</t>
  </si>
  <si>
    <t>HP đợt 2+1</t>
  </si>
  <si>
    <t>05/7/1983</t>
  </si>
  <si>
    <t>3905/QĐ-UBND, ngày 13/8/2015</t>
  </si>
  <si>
    <t>Đh Sư phạm HN</t>
  </si>
  <si>
    <t>HP đợt 2+1+Lệ phí thi</t>
  </si>
  <si>
    <t>12/4/1974</t>
  </si>
  <si>
    <t xml:space="preserve">Quản lý giáo dục </t>
  </si>
  <si>
    <t>KPĐT đợt 1+2</t>
  </si>
  <si>
    <t>29/05/1982</t>
  </si>
  <si>
    <t>1954/QĐ-UBND, ngày 15/4/2014</t>
  </si>
  <si>
    <t>1997/QĐ-UBND, ngày 15/4/2014</t>
  </si>
  <si>
    <t>Địa lỹ</t>
  </si>
  <si>
    <t>18/51985</t>
  </si>
  <si>
    <t>07/4/1985</t>
  </si>
  <si>
    <t>1985/QĐ-UBND, ngày 15/4/2014</t>
  </si>
  <si>
    <t>07/6/1975</t>
  </si>
  <si>
    <t>3953/QĐ-UBND, ngày 13/8/2015</t>
  </si>
  <si>
    <t>Văn học</t>
  </si>
  <si>
    <t>HP bổ sung2015-2016 + Phí vệ sinh +HP2015
Có đĩa mềm</t>
  </si>
  <si>
    <t>3930/QĐ-UBND, ngày 13/8/2015</t>
  </si>
  <si>
    <t xml:space="preserve">Toán học </t>
  </si>
  <si>
    <t>HPBS2015-2016+2014</t>
  </si>
  <si>
    <t>10/01/1984</t>
  </si>
  <si>
    <t>1974/QĐ-UBND, ngày 13/8/2015</t>
  </si>
  <si>
    <t>07/10/1976</t>
  </si>
  <si>
    <t>1973/QĐ-UBND, ngày 15/4/2014</t>
  </si>
  <si>
    <t xml:space="preserve">Văn học </t>
  </si>
  <si>
    <t>26/7/1982</t>
  </si>
  <si>
    <t>3911/QĐ-UBND, ngày 13/8/2015</t>
  </si>
  <si>
    <t xml:space="preserve">HP đợt 2+1 + Lệ phí thi </t>
  </si>
  <si>
    <t>03/12/1980</t>
  </si>
  <si>
    <t>1970/QĐ-UBND, ngày 15/4/2014</t>
  </si>
  <si>
    <t xml:space="preserve">Sinh học </t>
  </si>
  <si>
    <t>21/02/1978</t>
  </si>
  <si>
    <t>1968/QĐ-UBND, ngày 15/4/2014</t>
  </si>
  <si>
    <t>11/12/1980</t>
  </si>
  <si>
    <t>1953/QĐ-UBND, ngày 15/4/2014</t>
  </si>
  <si>
    <t>10/9/1984</t>
  </si>
  <si>
    <t>1980/QĐ-UBND, ngày 15/4/2014</t>
  </si>
  <si>
    <t>23/03/1979</t>
  </si>
  <si>
    <t>1969/QĐ-UBND, ngày 15/4/2014</t>
  </si>
  <si>
    <t>1965/QĐ-UBND, ngày 15/4/2014</t>
  </si>
  <si>
    <t>21/7/1979</t>
  </si>
  <si>
    <t>1972/QĐ-UBND, ngày 15/4/2014</t>
  </si>
  <si>
    <t xml:space="preserve">ĐH Khoa học tự nhiên </t>
  </si>
  <si>
    <t>22/01/1976</t>
  </si>
  <si>
    <t>3884/QĐ-UBND, ngày 13/8/2015</t>
  </si>
  <si>
    <t>07/8/1983</t>
  </si>
  <si>
    <t>3922/QĐ-UBND, ngày 13/8/2015</t>
  </si>
  <si>
    <t>ĐH Khoa học tự nhiên</t>
  </si>
  <si>
    <t xml:space="preserve">HP kỳ 1+2+3+4
</t>
  </si>
  <si>
    <t>25/8/1978</t>
  </si>
  <si>
    <t>3943/QĐ-UBND, ngày 13/8/2015</t>
  </si>
  <si>
    <t>Ngữ văn</t>
  </si>
  <si>
    <t>02/8/1984</t>
  </si>
  <si>
    <t>3904/QĐ-UBND, ngày 13/8/2015</t>
  </si>
  <si>
    <t>HP2014-2015+2015-2016</t>
  </si>
  <si>
    <t>27/9/1974</t>
  </si>
  <si>
    <t>3921/QĐ-UBND, ngày 13/8/2015</t>
  </si>
  <si>
    <t>29/6/1985</t>
  </si>
  <si>
    <t>3912/QĐ-UBND, ngày 13/8/2015</t>
  </si>
  <si>
    <t>HP đợt 2+1
Có đĩa mềm</t>
  </si>
  <si>
    <t>3913/QĐ-UBND, ngày 13/8/2015</t>
  </si>
  <si>
    <t>27/10/1981</t>
  </si>
  <si>
    <t>29/12/1978</t>
  </si>
  <si>
    <t>3940/QĐ-UBND, ngày 13/8/2015</t>
  </si>
  <si>
    <t xml:space="preserve">Anh văn </t>
  </si>
  <si>
    <t>01/02/1979</t>
  </si>
  <si>
    <t>3931/QĐ-UBND, ngày 13/8/2015</t>
  </si>
  <si>
    <t xml:space="preserve">Giáo dục chính trị </t>
  </si>
  <si>
    <t>HP 2015-2016
Có đĩa mềm</t>
  </si>
  <si>
    <t>11/02/1977</t>
  </si>
  <si>
    <t>3915/QĐ-UBND, ngày 13/8/2015</t>
  </si>
  <si>
    <t xml:space="preserve">Ngữ văn </t>
  </si>
  <si>
    <t xml:space="preserve">ĐH Khoa học xã hội và nhân văn </t>
  </si>
  <si>
    <t>12/9/1977</t>
  </si>
  <si>
    <t>1948/QĐ-UBND, ngày 15/4/2014</t>
  </si>
  <si>
    <t>30/10/1976</t>
  </si>
  <si>
    <t>3935/QĐ-UBND, ngày 13/8/2015</t>
  </si>
  <si>
    <t>HP đợt 1+2
Có đĩa mềm</t>
  </si>
  <si>
    <t>20/3/1976</t>
  </si>
  <si>
    <t>3942/QĐ-UBND, ngày 13/8/2015</t>
  </si>
  <si>
    <t>HP BL(2014-2015)
Có đĩa mềm</t>
  </si>
  <si>
    <t>09/9/1975</t>
  </si>
  <si>
    <t>2003/QĐ-UBND, ngày 15/4/2014</t>
  </si>
  <si>
    <t>30/9/1979</t>
  </si>
  <si>
    <t>1971/QĐ-UBND, ngày 15/4/2014</t>
  </si>
  <si>
    <t xml:space="preserve">Hóa học </t>
  </si>
  <si>
    <t xml:space="preserve">ĐH Giáo dục </t>
  </si>
  <si>
    <t>THPT Đại Cường</t>
  </si>
  <si>
    <t>1982/QĐ-UBND, ngày 15/4/2014</t>
  </si>
  <si>
    <t>05/5/1975</t>
  </si>
  <si>
    <t>1955/QĐ-UBND, ngày 15/4/2014</t>
  </si>
  <si>
    <t>26/9/1984</t>
  </si>
  <si>
    <t>3902/QĐ-UBND, ngày 15/4/2014</t>
  </si>
  <si>
    <t>HP2015-2016
Có đĩa mềm</t>
  </si>
  <si>
    <t>12/7/1984</t>
  </si>
  <si>
    <t>1984/QĐ-UBND, ngày 15/4/2014</t>
  </si>
  <si>
    <t>HP BL4/1/2016</t>
  </si>
  <si>
    <t>20/12/1977</t>
  </si>
  <si>
    <t>2006/QĐ-UBND, ngày 15/4/2014</t>
  </si>
  <si>
    <t>26/7/1975</t>
  </si>
  <si>
    <t>1994/QĐ-UBND, ngày 15/4/2014</t>
  </si>
  <si>
    <t>HV Chính trị - Bộ Quốc Phòng</t>
  </si>
  <si>
    <t>HP đợt 3 khóa 3</t>
  </si>
  <si>
    <t>Trường BD Cán bộ GD</t>
  </si>
  <si>
    <t>19/9/1980</t>
  </si>
  <si>
    <t>3907/QĐ-UBND, ngày 13/8/2015</t>
  </si>
  <si>
    <t>ĐH Khoa học XH&amp;NV</t>
  </si>
  <si>
    <t xml:space="preserve">HP2014
</t>
  </si>
  <si>
    <t>10/5/1985</t>
  </si>
  <si>
    <t>3896/QĐ-UBND, ngày 13/8/2015</t>
  </si>
  <si>
    <t>26/02/1979</t>
  </si>
  <si>
    <t>1975/QĐ-UBND, ngày 15/4/2014</t>
  </si>
  <si>
    <t>22/7/1974</t>
  </si>
  <si>
    <t>3919/QĐ-UBND, ngày 13/8/2015</t>
  </si>
  <si>
    <t xml:space="preserve">đợt 1+2 (2014-2016)
</t>
  </si>
  <si>
    <t>24/9/1982</t>
  </si>
  <si>
    <t>3895/QĐ-UBND, ngày 13/8/2015</t>
  </si>
  <si>
    <t>HP năm 1+2</t>
  </si>
  <si>
    <t>05/1/1981</t>
  </si>
  <si>
    <t>1979/QĐ-UBND, ngày 15/4/2014</t>
  </si>
  <si>
    <t>02/4/1975</t>
  </si>
  <si>
    <t>3910/QĐ-UBND, ngày 3/8/2015</t>
  </si>
  <si>
    <t>3945/QĐ-UBND, ngày 13/8/2015</t>
  </si>
  <si>
    <t>14/12/1979</t>
  </si>
  <si>
    <t>10/6/1975</t>
  </si>
  <si>
    <t>1995/QĐ-UBND, ngày 15/4/2014</t>
  </si>
  <si>
    <t>13/10/1974</t>
  </si>
  <si>
    <t>1986/QĐ-UBND, ngày 15/4/2014</t>
  </si>
  <si>
    <t>12/08/1978</t>
  </si>
  <si>
    <t>2004/QĐ-UBND, ngày 15/4/2014</t>
  </si>
  <si>
    <t xml:space="preserve">Toán ứng dụng </t>
  </si>
  <si>
    <t>04/02/1983</t>
  </si>
  <si>
    <t>3918/QĐ-UBND, ngày 13/8/2015</t>
  </si>
  <si>
    <t>01/12/1984</t>
  </si>
  <si>
    <t>3909/QĐ-UBND, ngày 13/8/2015</t>
  </si>
  <si>
    <t>17/11/1983</t>
  </si>
  <si>
    <t>3897/QĐ-UBND, ngày 13/8/2015</t>
  </si>
  <si>
    <t>ĐH KHXH và nhân văn - ĐHQG</t>
  </si>
  <si>
    <t>3948/QĐ-UBND, ngày 13/8/2015</t>
  </si>
  <si>
    <t>HV Khoa học xã hội</t>
  </si>
  <si>
    <t>23/5/1975</t>
  </si>
  <si>
    <t>Phó Hiệu trưởng THPT Quảng Oai</t>
  </si>
  <si>
    <t>1996/QĐ-UBND, ngày 15/4/2014</t>
  </si>
  <si>
    <t>27/9/1975</t>
  </si>
  <si>
    <t>1998/QĐ-UBND, ngày 15/4/2014</t>
  </si>
  <si>
    <t>30/8/1978</t>
  </si>
  <si>
    <t>1999/QĐ-UBND, ngày 15/4/2014</t>
  </si>
  <si>
    <t>07/5/1976</t>
  </si>
  <si>
    <t>2000/QĐ-UBND, ngày 15/4/2014</t>
  </si>
  <si>
    <t>Lịch sử thế giới</t>
  </si>
  <si>
    <t>DDH KHXH&amp;NV</t>
  </si>
  <si>
    <t>HP đợt 2013-2014; 2015</t>
  </si>
  <si>
    <t>02/8/1977</t>
  </si>
  <si>
    <t>2001/QĐ-UBND, ngày 15/4/2014</t>
  </si>
  <si>
    <t>03/8/1983</t>
  </si>
  <si>
    <t>2002/QĐ-UBND, ngày 15/4/2014</t>
  </si>
  <si>
    <t>ĐH Giáo dục - ĐH QGHN</t>
  </si>
  <si>
    <t>13/11/1982</t>
  </si>
  <si>
    <t>2005/QĐ-UBND, ngày 15/4/2014</t>
  </si>
  <si>
    <t>HV Kỹ thuật quân sự</t>
  </si>
  <si>
    <t>03/11/1980</t>
  </si>
  <si>
    <t>1949/QĐ-UBND, ngày 15/4/2014</t>
  </si>
  <si>
    <t>15/9/1976</t>
  </si>
  <si>
    <t>1947/QĐ-UBND, ngày 15/4/2014</t>
  </si>
  <si>
    <t>Tin học</t>
  </si>
  <si>
    <t>HP đợt 1+2; HP2015-2016</t>
  </si>
  <si>
    <t>18/8/1978</t>
  </si>
  <si>
    <t>1950/QĐ-UBND, ngày 15/4/2014</t>
  </si>
  <si>
    <t>18/3/1979</t>
  </si>
  <si>
    <t>1951/QĐ-UBND, ngày 15/4/2014</t>
  </si>
  <si>
    <t>1956/QĐ-UBND, ngày 15/4/2014</t>
  </si>
  <si>
    <t>Tiếng Pháp</t>
  </si>
  <si>
    <t>ĐH Ngoại ngữ</t>
  </si>
  <si>
    <t>18/12/1977</t>
  </si>
  <si>
    <t>1966/QĐ-UBND, ngày 15/4/2014</t>
  </si>
  <si>
    <t xml:space="preserve">Lý luận văn học </t>
  </si>
  <si>
    <t>04/8/1979</t>
  </si>
  <si>
    <t>1967/QĐ-UBND, ngày 15/4/2014</t>
  </si>
  <si>
    <t>18/10/1977</t>
  </si>
  <si>
    <t>1976/QĐ-UBND, ngày 15/4/2014</t>
  </si>
  <si>
    <t>HP CHK22+HP năm2</t>
  </si>
  <si>
    <t>03/2/1973</t>
  </si>
  <si>
    <t>29/11/1975</t>
  </si>
  <si>
    <t>1978/QĐ-UBND, ngày 15/4/2014</t>
  </si>
  <si>
    <t>HV Chính trị - Hành chính</t>
  </si>
  <si>
    <t>02/9/1986</t>
  </si>
  <si>
    <t>1983/QĐ-UBND, ngày 15/4/2014</t>
  </si>
  <si>
    <t>HP kỳ 3+4; K02</t>
  </si>
  <si>
    <t>HT hàng tháng còn lại</t>
  </si>
  <si>
    <t>HP đợt 2+1+Lệ phí HTĐT</t>
  </si>
  <si>
    <t xml:space="preserve">Hỗ trợ hàng tháng còn lại </t>
  </si>
  <si>
    <t>bồi hoàn kinh phí</t>
  </si>
  <si>
    <r>
      <rPr>
        <b/>
        <sz val="7"/>
        <color indexed="10"/>
        <rFont val="Times New Roman"/>
        <family val="1"/>
      </rPr>
      <t>Thiếu bằng tốt nghiệp + bảng điểm</t>
    </r>
    <r>
      <rPr>
        <sz val="7"/>
        <color indexed="10"/>
        <rFont val="Times New Roman"/>
        <family val="1"/>
      </rPr>
      <t xml:space="preserve">
Có duyệt hỗ trợ BVLV ko?</t>
    </r>
  </si>
  <si>
    <t>HP 2015-2016
MỚI</t>
  </si>
  <si>
    <t>MỚI</t>
  </si>
  <si>
    <t>HP 2015-2016+ HP bổ sung</t>
  </si>
  <si>
    <t>BVLV 02/12/2014
BIỂU 2013</t>
  </si>
  <si>
    <t xml:space="preserve"> Hóa học</t>
  </si>
  <si>
    <t xml:space="preserve">Tiền tài liệu + BSKT
</t>
  </si>
  <si>
    <t>Học viện KHXH - Viện HL KHXH VN</t>
  </si>
  <si>
    <t>Phùng Ngọc Sơn</t>
  </si>
  <si>
    <t>CV BQL dự án Cầu Giấy</t>
  </si>
  <si>
    <t>1963/QĐ-UBND ngày 15/4/2014</t>
  </si>
  <si>
    <t>QLXD</t>
  </si>
  <si>
    <t>BVLV29/3/2016</t>
  </si>
  <si>
    <t>HP 2016</t>
  </si>
  <si>
    <t xml:space="preserve">Sở Du lịch </t>
  </si>
  <si>
    <t>Sở tư pháp</t>
  </si>
  <si>
    <t>(Kèm theo Quyết định số: 01/QĐ-QƯĐ, ngày 25/10/2016 của Quỹ Ưu đãi, khuyến khích, đào tạo tài năng Hà Nội)</t>
  </si>
  <si>
    <r>
      <t xml:space="preserve">BVLV </t>
    </r>
    <r>
      <rPr>
        <b/>
        <sz val="8"/>
        <rFont val="Times New Roman"/>
        <family val="1"/>
      </rPr>
      <t>3/2016</t>
    </r>
  </si>
  <si>
    <r>
      <t xml:space="preserve">BVLV </t>
    </r>
    <r>
      <rPr>
        <b/>
        <sz val="8"/>
        <rFont val="Times New Roman"/>
        <family val="1"/>
      </rPr>
      <t>9/2016</t>
    </r>
  </si>
  <si>
    <r>
      <t xml:space="preserve">BVLV </t>
    </r>
    <r>
      <rPr>
        <b/>
        <sz val="8"/>
        <rFont val="Times New Roman"/>
        <family val="1"/>
      </rPr>
      <t>11/2015</t>
    </r>
  </si>
  <si>
    <r>
      <t xml:space="preserve">HP 2014-2015 + HTĐT
BVLV </t>
    </r>
    <r>
      <rPr>
        <b/>
        <sz val="8"/>
        <rFont val="Times New Roman"/>
        <family val="1"/>
      </rPr>
      <t>06/10/2015</t>
    </r>
  </si>
  <si>
    <r>
      <t xml:space="preserve">BVLV </t>
    </r>
    <r>
      <rPr>
        <b/>
        <sz val="8"/>
        <rFont val="Times New Roman"/>
        <family val="1"/>
      </rPr>
      <t>06/10/2015</t>
    </r>
  </si>
  <si>
    <r>
      <t xml:space="preserve">BVLV </t>
    </r>
    <r>
      <rPr>
        <b/>
        <sz val="8"/>
        <rFont val="Times New Roman"/>
        <family val="1"/>
      </rPr>
      <t>12/3/2015</t>
    </r>
  </si>
  <si>
    <r>
      <t xml:space="preserve">BL 2011010120 + 201106729 </t>
    </r>
    <r>
      <rPr>
        <b/>
        <sz val="8"/>
        <rFont val="Times New Roman"/>
        <family val="1"/>
      </rPr>
      <t>không có dấu đỏ</t>
    </r>
    <r>
      <rPr>
        <sz val="8"/>
        <rFont val="Times New Roman"/>
        <family val="1"/>
      </rPr>
      <t xml:space="preserve">
Đã hỗ trợ BVLV2015</t>
    </r>
  </si>
  <si>
    <r>
      <t xml:space="preserve">HP kỳ 4 + BVLV </t>
    </r>
    <r>
      <rPr>
        <b/>
        <sz val="8"/>
        <rFont val="Times New Roman"/>
        <family val="1"/>
      </rPr>
      <t>02/2016</t>
    </r>
  </si>
  <si>
    <r>
      <t xml:space="preserve">HP kì I,II (2014-2015) + HP kì I(2015-2016)
BVLV </t>
    </r>
    <r>
      <rPr>
        <b/>
        <sz val="8"/>
        <rFont val="Times New Roman"/>
        <family val="1"/>
      </rPr>
      <t>03/16</t>
    </r>
  </si>
  <si>
    <r>
      <t xml:space="preserve">HP kì II (2014-2015) + HP kì I(2015-2016)
BVLV </t>
    </r>
    <r>
      <rPr>
        <b/>
        <sz val="8"/>
        <rFont val="Times New Roman"/>
        <family val="1"/>
      </rPr>
      <t>03/16</t>
    </r>
  </si>
  <si>
    <r>
      <rPr>
        <b/>
        <sz val="8"/>
        <rFont val="Times New Roman"/>
        <family val="1"/>
      </rPr>
      <t>Thiếu bằng tốt nghiệp + bảng điểm</t>
    </r>
    <r>
      <rPr>
        <sz val="8"/>
        <rFont val="Times New Roman"/>
        <family val="1"/>
      </rPr>
      <t xml:space="preserve">
Phí BVLV +HP gia hạn +HP kỳ 1 (2015-2016) + HP kỳ II (2014-2015) +HP kỳ I (2014-2015) + HP kỳ II (2013-2014)</t>
    </r>
  </si>
  <si>
    <r>
      <t xml:space="preserve">BVLV </t>
    </r>
    <r>
      <rPr>
        <b/>
        <sz val="8"/>
        <rFont val="Times New Roman"/>
        <family val="1"/>
      </rPr>
      <t>04/2014</t>
    </r>
  </si>
  <si>
    <r>
      <t xml:space="preserve">BVLV </t>
    </r>
    <r>
      <rPr>
        <b/>
        <sz val="8"/>
        <rFont val="Times New Roman"/>
        <family val="1"/>
      </rPr>
      <t>30/10/2015</t>
    </r>
  </si>
  <si>
    <r>
      <t xml:space="preserve">HP đợt 1+2
</t>
    </r>
    <r>
      <rPr>
        <b/>
        <sz val="8"/>
        <rFont val="Times New Roman"/>
        <family val="1"/>
      </rPr>
      <t>MỚI</t>
    </r>
  </si>
  <si>
    <r>
      <t xml:space="preserve">HP 2014-2015
</t>
    </r>
    <r>
      <rPr>
        <b/>
        <sz val="8"/>
        <rFont val="Times New Roman"/>
        <family val="1"/>
      </rPr>
      <t>MỚI</t>
    </r>
  </si>
  <si>
    <r>
      <t xml:space="preserve">HP đợt 1 2014-2015 + HP năm 2
</t>
    </r>
    <r>
      <rPr>
        <b/>
        <sz val="8"/>
        <rFont val="Times New Roman"/>
        <family val="1"/>
      </rPr>
      <t>MỚI</t>
    </r>
  </si>
  <si>
    <r>
      <t xml:space="preserve">HP năm 1+2
</t>
    </r>
    <r>
      <rPr>
        <b/>
        <sz val="8"/>
        <rFont val="Times New Roman"/>
        <family val="1"/>
      </rPr>
      <t>MỚI</t>
    </r>
  </si>
  <si>
    <r>
      <t xml:space="preserve">HP 2014-2015 + 2015-2016
BVLV </t>
    </r>
    <r>
      <rPr>
        <b/>
        <sz val="8"/>
        <rFont val="Times New Roman"/>
        <family val="1"/>
      </rPr>
      <t>30/8/2016</t>
    </r>
  </si>
  <si>
    <r>
      <t xml:space="preserve">HP2013-2014 +2014-2015
BVLV </t>
    </r>
    <r>
      <rPr>
        <b/>
        <sz val="8"/>
        <rFont val="Times New Roman"/>
        <family val="1"/>
      </rPr>
      <t>23/2/2016</t>
    </r>
  </si>
  <si>
    <r>
      <t xml:space="preserve">HP đợt 2+1
BVLV </t>
    </r>
    <r>
      <rPr>
        <b/>
        <sz val="8"/>
        <rFont val="Times New Roman"/>
        <family val="1"/>
      </rPr>
      <t>08/1/2016</t>
    </r>
  </si>
  <si>
    <r>
      <t xml:space="preserve">HP đợt 2+1
BVLV </t>
    </r>
    <r>
      <rPr>
        <b/>
        <sz val="8"/>
        <rFont val="Times New Roman"/>
        <family val="1"/>
      </rPr>
      <t>24/5/2016 (tính 1210000)</t>
    </r>
  </si>
  <si>
    <r>
      <t xml:space="preserve">HP đợt 2+1
BVLV </t>
    </r>
    <r>
      <rPr>
        <b/>
        <sz val="8"/>
        <rFont val="Times New Roman"/>
        <family val="1"/>
      </rPr>
      <t>24/5/2016</t>
    </r>
  </si>
  <si>
    <r>
      <t xml:space="preserve">HP đợt 2+1
BVLV </t>
    </r>
    <r>
      <rPr>
        <b/>
        <sz val="8"/>
        <rFont val="Times New Roman"/>
        <family val="1"/>
      </rPr>
      <t>15/7/2016</t>
    </r>
  </si>
  <si>
    <r>
      <t>HP đợt 2+1
BVLV 24/5</t>
    </r>
    <r>
      <rPr>
        <b/>
        <sz val="8"/>
        <rFont val="Times New Roman"/>
        <family val="1"/>
      </rPr>
      <t>/2016</t>
    </r>
  </si>
  <si>
    <r>
      <t xml:space="preserve">HP 2013-2014&amp;2014-15
BVLV </t>
    </r>
    <r>
      <rPr>
        <b/>
        <sz val="8"/>
        <rFont val="Times New Roman"/>
        <family val="1"/>
      </rPr>
      <t>19/8/2015</t>
    </r>
  </si>
  <si>
    <r>
      <t xml:space="preserve">HP đợt 1+2
BVLV </t>
    </r>
    <r>
      <rPr>
        <b/>
        <sz val="8"/>
        <rFont val="Times New Roman"/>
        <family val="1"/>
      </rPr>
      <t>8/1/2016</t>
    </r>
  </si>
  <si>
    <r>
      <t xml:space="preserve">HP đợt 1+2 (2014-2015)
BVLV </t>
    </r>
    <r>
      <rPr>
        <b/>
        <sz val="8"/>
        <rFont val="Times New Roman"/>
        <family val="1"/>
      </rPr>
      <t>24/5/2016</t>
    </r>
  </si>
  <si>
    <r>
      <t xml:space="preserve">HP đợt 1+2 (2014-2015)
BVLV </t>
    </r>
    <r>
      <rPr>
        <b/>
        <sz val="8"/>
        <rFont val="Times New Roman"/>
        <family val="1"/>
      </rPr>
      <t>8/1/2016</t>
    </r>
  </si>
  <si>
    <r>
      <t>HP kỳ 1+2+3+4
BVLV 2</t>
    </r>
    <r>
      <rPr>
        <b/>
        <sz val="8"/>
        <rFont val="Times New Roman"/>
        <family val="1"/>
      </rPr>
      <t>8/3/2016</t>
    </r>
  </si>
  <si>
    <r>
      <t xml:space="preserve">HP 2014+ nhập học +HTĐT +HP2015-2014
BVLV </t>
    </r>
    <r>
      <rPr>
        <b/>
        <sz val="8"/>
        <rFont val="Times New Roman"/>
        <family val="1"/>
      </rPr>
      <t>13/5/2016</t>
    </r>
  </si>
  <si>
    <r>
      <t xml:space="preserve">HP 2014-2015
BVLV </t>
    </r>
    <r>
      <rPr>
        <b/>
        <sz val="8"/>
        <rFont val="Times New Roman"/>
        <family val="1"/>
      </rPr>
      <t>23/2/2016</t>
    </r>
  </si>
  <si>
    <r>
      <t xml:space="preserve">HP đợt 1+2
BVLV </t>
    </r>
    <r>
      <rPr>
        <b/>
        <sz val="8"/>
        <rFont val="Times New Roman"/>
        <family val="1"/>
      </rPr>
      <t>08/1//2016
Thiếu bảng điểm</t>
    </r>
  </si>
  <si>
    <r>
      <t xml:space="preserve">BVLV </t>
    </r>
    <r>
      <rPr>
        <b/>
        <sz val="8"/>
        <rFont val="Times New Roman"/>
        <family val="1"/>
      </rPr>
      <t>24/5/2016 (tính 1210000)
Thiếu bảng điểm</t>
    </r>
  </si>
  <si>
    <r>
      <t xml:space="preserve">HP đợt 1+2
BVLV </t>
    </r>
    <r>
      <rPr>
        <b/>
        <sz val="8"/>
        <rFont val="Times New Roman"/>
        <family val="1"/>
      </rPr>
      <t>08/1/2016
Thiếu bảng điểm</t>
    </r>
  </si>
  <si>
    <r>
      <t xml:space="preserve">HP đợt 1+HP khóa 13
BVLV </t>
    </r>
    <r>
      <rPr>
        <b/>
        <sz val="8"/>
        <rFont val="Times New Roman"/>
        <family val="1"/>
      </rPr>
      <t>15/7/2016
Thiếu bảng điểm</t>
    </r>
  </si>
  <si>
    <r>
      <t xml:space="preserve">HP kỳ 1+4+2
BVLV </t>
    </r>
    <r>
      <rPr>
        <b/>
        <sz val="8"/>
        <rFont val="Times New Roman"/>
        <family val="1"/>
      </rPr>
      <t>28/3/2016</t>
    </r>
  </si>
  <si>
    <r>
      <t xml:space="preserve">HP kỳđợt 2+1(2014-2015)
BVLV </t>
    </r>
    <r>
      <rPr>
        <b/>
        <sz val="8"/>
        <rFont val="Times New Roman"/>
        <family val="1"/>
      </rPr>
      <t>24/5/2016 (tính 1210000)</t>
    </r>
  </si>
  <si>
    <r>
      <t xml:space="preserve">HP kỳđợt 2+3(2014-2015)
BVLV </t>
    </r>
    <r>
      <rPr>
        <b/>
        <sz val="8"/>
        <rFont val="Times New Roman"/>
        <family val="1"/>
      </rPr>
      <t>24/5/2016 (tính 1210000)
Thiếu bảng điểm</t>
    </r>
  </si>
  <si>
    <r>
      <t>HP2013-2014,2014-2015
BVLV 2</t>
    </r>
    <r>
      <rPr>
        <b/>
        <sz val="8"/>
        <rFont val="Times New Roman"/>
        <family val="1"/>
      </rPr>
      <t>3/2/2016</t>
    </r>
  </si>
  <si>
    <r>
      <t xml:space="preserve">HP kỳ 1+2+3+4
BVLV </t>
    </r>
    <r>
      <rPr>
        <b/>
        <sz val="8"/>
        <rFont val="Times New Roman"/>
        <family val="1"/>
      </rPr>
      <t>28/3/2016</t>
    </r>
  </si>
  <si>
    <r>
      <t xml:space="preserve">HP năm 2015-2016
</t>
    </r>
    <r>
      <rPr>
        <b/>
        <sz val="8"/>
        <rFont val="Times New Roman"/>
        <family val="1"/>
      </rPr>
      <t>Có bảng điểm</t>
    </r>
  </si>
  <si>
    <r>
      <t xml:space="preserve">Lệ phí +HP2014-2015+2015-2016
</t>
    </r>
    <r>
      <rPr>
        <b/>
        <sz val="8"/>
        <rFont val="Times New Roman"/>
        <family val="1"/>
      </rPr>
      <t>Có bảng điểm</t>
    </r>
  </si>
  <si>
    <r>
      <t xml:space="preserve">HP kỳ 1+2
BVLV </t>
    </r>
    <r>
      <rPr>
        <b/>
        <sz val="8"/>
        <rFont val="Times New Roman"/>
        <family val="1"/>
      </rPr>
      <t>08/01/2016</t>
    </r>
  </si>
  <si>
    <r>
      <t xml:space="preserve">HP kỳ 1+2
BVLV </t>
    </r>
    <r>
      <rPr>
        <b/>
        <sz val="8"/>
        <rFont val="Times New Roman"/>
        <family val="1"/>
      </rPr>
      <t>15/7//2016
Thiếu bảng điểm</t>
    </r>
  </si>
  <si>
    <r>
      <t xml:space="preserve">HP kỳ 2014-2015
BVLV </t>
    </r>
    <r>
      <rPr>
        <b/>
        <sz val="8"/>
        <rFont val="Times New Roman"/>
        <family val="1"/>
      </rPr>
      <t>18/3/2016
Thiếu bảng điểm</t>
    </r>
  </si>
  <si>
    <r>
      <t xml:space="preserve">HPCH2014-2015
BVLV </t>
    </r>
    <r>
      <rPr>
        <b/>
        <sz val="8"/>
        <rFont val="Times New Roman"/>
        <family val="1"/>
      </rPr>
      <t>18/3/2016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Thiếu bảng điểm + đĩa</t>
    </r>
  </si>
  <si>
    <r>
      <t xml:space="preserve">HP đợt 1+2
</t>
    </r>
    <r>
      <rPr>
        <b/>
        <sz val="8"/>
        <rFont val="Times New Roman"/>
        <family val="1"/>
      </rPr>
      <t>Có bảng điểm</t>
    </r>
  </si>
  <si>
    <r>
      <t xml:space="preserve">HP đợt 1+2 + Lệ phí thi CH
</t>
    </r>
    <r>
      <rPr>
        <b/>
        <sz val="8"/>
        <rFont val="Times New Roman"/>
        <family val="1"/>
      </rPr>
      <t>Có đĩa mềm</t>
    </r>
  </si>
  <si>
    <r>
      <t xml:space="preserve">Thi đầu vào + Thi CH+Phí nhập học +HP2014-2015+HTĐT +HP2016
</t>
    </r>
    <r>
      <rPr>
        <b/>
        <sz val="8"/>
        <rFont val="Times New Roman"/>
        <family val="1"/>
      </rPr>
      <t>Có đĩa mềm</t>
    </r>
  </si>
  <si>
    <r>
      <t xml:space="preserve">HP đợt 1+2
</t>
    </r>
    <r>
      <rPr>
        <b/>
        <sz val="8"/>
        <rFont val="Times New Roman"/>
        <family val="1"/>
      </rPr>
      <t>BVLV 08/1/2016
Thiếu bảng điểm + đĩa mềm</t>
    </r>
  </si>
  <si>
    <r>
      <t xml:space="preserve">HP đợt 2013-2014; 2015
</t>
    </r>
    <r>
      <rPr>
        <b/>
        <sz val="8"/>
        <rFont val="Times New Roman"/>
        <family val="1"/>
      </rPr>
      <t>BVLV 06/10/2015
Thiếu bảng điểm + đĩa mềm</t>
    </r>
  </si>
  <si>
    <r>
      <t xml:space="preserve">HP đợt 2013-2014; kỳ 1 2014-2015
BVLV </t>
    </r>
    <r>
      <rPr>
        <b/>
        <sz val="8"/>
        <rFont val="Times New Roman"/>
        <family val="1"/>
      </rPr>
      <t>19/8/2015</t>
    </r>
  </si>
  <si>
    <r>
      <t xml:space="preserve">HP đợt 2013-2014; kỳ 1 2014-2015
</t>
    </r>
    <r>
      <rPr>
        <b/>
        <sz val="8"/>
        <rFont val="Times New Roman"/>
        <family val="1"/>
      </rPr>
      <t>Có bảng điểm</t>
    </r>
  </si>
  <si>
    <r>
      <t xml:space="preserve">HP đợt 1+2; Lệ phí nhập học
</t>
    </r>
    <r>
      <rPr>
        <b/>
        <sz val="8"/>
        <rFont val="Times New Roman"/>
        <family val="1"/>
      </rPr>
      <t>Có bảng điểm</t>
    </r>
  </si>
  <si>
    <r>
      <t xml:space="preserve">HP đợt 1+2; HP2015-2016
</t>
    </r>
    <r>
      <rPr>
        <b/>
        <sz val="8"/>
        <rFont val="Times New Roman"/>
        <family val="1"/>
      </rPr>
      <t>BVLV 19/8/2015</t>
    </r>
  </si>
  <si>
    <r>
      <t xml:space="preserve">HP đợt 2013-2014;2014-2015
BVLV </t>
    </r>
    <r>
      <rPr>
        <b/>
        <sz val="8"/>
        <rFont val="Times New Roman"/>
        <family val="1"/>
      </rPr>
      <t>19/8/2015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Thiếu bảng điểm+đĩa mềm</t>
    </r>
  </si>
  <si>
    <r>
      <t xml:space="preserve">HP đợt 1 + nhập học + đợt 2
BVLV </t>
    </r>
    <r>
      <rPr>
        <b/>
        <sz val="8"/>
        <rFont val="Times New Roman"/>
        <family val="1"/>
      </rPr>
      <t>12/3/2015</t>
    </r>
  </si>
  <si>
    <r>
      <t xml:space="preserve">HP kỳ 3+4; K02
BVLV </t>
    </r>
    <r>
      <rPr>
        <b/>
        <sz val="8"/>
        <rFont val="Times New Roman"/>
        <family val="1"/>
      </rPr>
      <t>9/11/2015</t>
    </r>
  </si>
  <si>
    <r>
      <t xml:space="preserve">BVLV </t>
    </r>
    <r>
      <rPr>
        <b/>
        <sz val="8"/>
        <rFont val="Times New Roman"/>
        <family val="1"/>
      </rPr>
      <t>14/4/2016</t>
    </r>
  </si>
  <si>
    <r>
      <t>Hỗ trợ 100USD (tỷ giá vietcombank</t>
    </r>
    <r>
      <rPr>
        <b/>
        <sz val="8"/>
        <rFont val="Times New Roman"/>
        <family val="1"/>
      </rPr>
      <t xml:space="preserve"> 03/10: 22,265.00)</t>
    </r>
  </si>
  <si>
    <r>
      <t xml:space="preserve">HP + BVLV </t>
    </r>
    <r>
      <rPr>
        <b/>
        <sz val="8"/>
        <rFont val="Times New Roman"/>
        <family val="1"/>
      </rPr>
      <t>01/2016
Thiếu đĩa mềm</t>
    </r>
  </si>
  <si>
    <r>
      <t xml:space="preserve">HP năm 2015
BVLV </t>
    </r>
    <r>
      <rPr>
        <b/>
        <sz val="8"/>
        <rFont val="Times New Roman"/>
        <family val="1"/>
      </rPr>
      <t>11/11/2015, thiếu bằng</t>
    </r>
  </si>
  <si>
    <r>
      <t xml:space="preserve">HP đợt 2 năm 2015
</t>
    </r>
    <r>
      <rPr>
        <b/>
        <sz val="8"/>
        <rFont val="Times New Roman"/>
        <family val="1"/>
      </rPr>
      <t>BVLV 28/7/2016</t>
    </r>
  </si>
  <si>
    <r>
      <t xml:space="preserve">HP kỳ 2(2013-2014) 
BVLV </t>
    </r>
    <r>
      <rPr>
        <b/>
        <sz val="8"/>
        <rFont val="Times New Roman"/>
        <family val="1"/>
      </rPr>
      <t>10/2015
Thiếu đĩa mềm</t>
    </r>
  </si>
  <si>
    <r>
      <rPr>
        <b/>
        <sz val="8"/>
        <rFont val="Times New Roman"/>
        <family val="1"/>
      </rPr>
      <t>Mới</t>
    </r>
    <r>
      <rPr>
        <sz val="8"/>
        <rFont val="Times New Roman"/>
        <family val="1"/>
      </rPr>
      <t xml:space="preserve">
HP (BL4/5/16 &amp; 4/10/16)</t>
    </r>
  </si>
  <si>
    <r>
      <t xml:space="preserve">BVLV </t>
    </r>
    <r>
      <rPr>
        <b/>
        <sz val="8"/>
        <rFont val="Times New Roman"/>
        <family val="1"/>
      </rPr>
      <t>16/12/2014</t>
    </r>
  </si>
  <si>
    <r>
      <t xml:space="preserve">BVLV </t>
    </r>
    <r>
      <rPr>
        <b/>
        <sz val="8"/>
        <rFont val="Times New Roman"/>
        <family val="1"/>
      </rPr>
      <t>29/10/2015</t>
    </r>
  </si>
  <si>
    <r>
      <t xml:space="preserve">BVLV </t>
    </r>
    <r>
      <rPr>
        <b/>
        <sz val="8"/>
        <rFont val="Times New Roman"/>
        <family val="1"/>
      </rPr>
      <t>26/2/2016</t>
    </r>
  </si>
  <si>
    <r>
      <t xml:space="preserve">BVLV </t>
    </r>
    <r>
      <rPr>
        <b/>
        <sz val="8"/>
        <rFont val="Times New Roman"/>
        <family val="1"/>
      </rPr>
      <t>01/2015</t>
    </r>
  </si>
  <si>
    <r>
      <t xml:space="preserve">BVLV </t>
    </r>
    <r>
      <rPr>
        <b/>
        <sz val="8"/>
        <rFont val="Times New Roman"/>
        <family val="1"/>
      </rPr>
      <t>11/2015</t>
    </r>
    <r>
      <rPr>
        <sz val="8"/>
        <rFont val="Times New Roman"/>
        <family val="1"/>
      </rPr>
      <t xml:space="preserve">
Thiếu bảng điểm</t>
    </r>
  </si>
  <si>
    <r>
      <t>BVLV</t>
    </r>
    <r>
      <rPr>
        <b/>
        <sz val="8"/>
        <rFont val="Times New Roman"/>
        <family val="1"/>
      </rPr>
      <t xml:space="preserve"> 11/2015 
Thiếu bảng điểm</t>
    </r>
  </si>
  <si>
    <r>
      <t xml:space="preserve">HP 2014-2015  + BVLV </t>
    </r>
    <r>
      <rPr>
        <b/>
        <sz val="8"/>
        <rFont val="Times New Roman"/>
        <family val="1"/>
      </rPr>
      <t>02/2016
Thiếu đĩa mềm</t>
    </r>
  </si>
  <si>
    <r>
      <t xml:space="preserve">HP thực địa + BVLV </t>
    </r>
    <r>
      <rPr>
        <b/>
        <sz val="8"/>
        <rFont val="Times New Roman"/>
        <family val="1"/>
      </rPr>
      <t>02/2016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(thiếu bảng điểm, đĩa)</t>
    </r>
  </si>
  <si>
    <r>
      <t xml:space="preserve">HP 2014-2015 
BVLV </t>
    </r>
    <r>
      <rPr>
        <b/>
        <sz val="8"/>
        <rFont val="Times New Roman"/>
        <family val="1"/>
      </rPr>
      <t>12/2015</t>
    </r>
  </si>
  <si>
    <r>
      <t xml:space="preserve">4 Phiếu thu + Biên lai; HT theo tháng đã xong căn cứ bản trình 2013  + </t>
    </r>
    <r>
      <rPr>
        <b/>
        <sz val="8"/>
        <rFont val="Times New Roman"/>
        <family val="1"/>
      </rPr>
      <t>Phát sinh tiền gia hạn 24 tháng (=26400000)</t>
    </r>
  </si>
  <si>
    <r>
      <t xml:space="preserve">Thời điểm báo cáo tóm tắt tốt nghiệp </t>
    </r>
    <r>
      <rPr>
        <b/>
        <sz val="8"/>
        <rFont val="Times New Roman"/>
        <family val="1"/>
      </rPr>
      <t>09/2015</t>
    </r>
    <r>
      <rPr>
        <sz val="8"/>
        <rFont val="Times New Roman"/>
        <family val="1"/>
      </rPr>
      <t xml:space="preserve">
Tính giá USD (vietcombank </t>
    </r>
    <r>
      <rPr>
        <b/>
        <sz val="8"/>
        <rFont val="Times New Roman"/>
        <family val="1"/>
      </rPr>
      <t>16/9/15</t>
    </r>
    <r>
      <rPr>
        <sz val="8"/>
        <rFont val="Times New Roman"/>
        <family val="1"/>
      </rPr>
      <t>)</t>
    </r>
  </si>
  <si>
    <r>
      <t xml:space="preserve">HP kỳ 2/2014-2015 
BVLV </t>
    </r>
    <r>
      <rPr>
        <b/>
        <sz val="8"/>
        <rFont val="Times New Roman"/>
        <family val="1"/>
      </rPr>
      <t>30/1/2016</t>
    </r>
  </si>
  <si>
    <r>
      <t xml:space="preserve">HP 8/6/2015
BVLV </t>
    </r>
    <r>
      <rPr>
        <b/>
        <sz val="8"/>
        <rFont val="Times New Roman"/>
        <family val="1"/>
      </rPr>
      <t>8/1/2016</t>
    </r>
  </si>
  <si>
    <r>
      <t xml:space="preserve">HP kỳ 4
BVLV </t>
    </r>
    <r>
      <rPr>
        <b/>
        <sz val="8"/>
        <rFont val="Times New Roman"/>
        <family val="1"/>
      </rPr>
      <t>15/4/2016</t>
    </r>
  </si>
  <si>
    <r>
      <t xml:space="preserve">BVLV </t>
    </r>
    <r>
      <rPr>
        <b/>
        <sz val="8"/>
        <rFont val="Times New Roman"/>
        <family val="1"/>
      </rPr>
      <t>9/9/2015</t>
    </r>
  </si>
  <si>
    <r>
      <t xml:space="preserve">HP kỳ 4
BVLV </t>
    </r>
    <r>
      <rPr>
        <b/>
        <sz val="8"/>
        <rFont val="Times New Roman"/>
        <family val="1"/>
      </rPr>
      <t>27/11/2015</t>
    </r>
  </si>
  <si>
    <r>
      <t>BVLV</t>
    </r>
    <r>
      <rPr>
        <b/>
        <sz val="8"/>
        <rFont val="Times New Roman"/>
        <family val="1"/>
      </rPr>
      <t xml:space="preserve"> 08/2015</t>
    </r>
  </si>
  <si>
    <r>
      <t xml:space="preserve">BVLV </t>
    </r>
    <r>
      <rPr>
        <b/>
        <sz val="8"/>
        <rFont val="Times New Roman"/>
        <family val="1"/>
      </rPr>
      <t>01/2016</t>
    </r>
  </si>
  <si>
    <r>
      <t>BVLV</t>
    </r>
    <r>
      <rPr>
        <b/>
        <sz val="8"/>
        <rFont val="Times New Roman"/>
        <family val="1"/>
      </rPr>
      <t xml:space="preserve"> 09/2015</t>
    </r>
  </si>
  <si>
    <r>
      <t xml:space="preserve">HP2013
BVLV </t>
    </r>
    <r>
      <rPr>
        <b/>
        <sz val="8"/>
        <rFont val="Times New Roman"/>
        <family val="1"/>
      </rPr>
      <t>07/2016</t>
    </r>
  </si>
  <si>
    <r>
      <t xml:space="preserve">HP kỳ 1+2 năm thứ 2
BVLV </t>
    </r>
    <r>
      <rPr>
        <b/>
        <sz val="8"/>
        <rFont val="Times New Roman"/>
        <family val="1"/>
      </rPr>
      <t>03/2016</t>
    </r>
  </si>
  <si>
    <r>
      <t xml:space="preserve">HP bổ sung 1-&gt;11/2015 + HP 4 kỳ
BVLV </t>
    </r>
    <r>
      <rPr>
        <b/>
        <sz val="8"/>
        <rFont val="Times New Roman"/>
        <family val="1"/>
      </rPr>
      <t>10/5/2016
BIỂU 2013</t>
    </r>
  </si>
  <si>
    <r>
      <t xml:space="preserve">BVLV </t>
    </r>
    <r>
      <rPr>
        <b/>
        <sz val="8"/>
        <rFont val="Times New Roman"/>
        <family val="1"/>
      </rPr>
      <t>01/9/2016</t>
    </r>
  </si>
  <si>
    <r>
      <t xml:space="preserve">BVLV </t>
    </r>
    <r>
      <rPr>
        <b/>
        <sz val="8"/>
        <rFont val="Times New Roman"/>
        <family val="1"/>
      </rPr>
      <t>8/1/2016</t>
    </r>
  </si>
  <si>
    <r>
      <t xml:space="preserve">BVLV </t>
    </r>
    <r>
      <rPr>
        <b/>
        <sz val="8"/>
        <rFont val="Times New Roman"/>
        <family val="1"/>
      </rPr>
      <t>08/1/2016</t>
    </r>
  </si>
  <si>
    <r>
      <t xml:space="preserve">BVLV </t>
    </r>
    <r>
      <rPr>
        <b/>
        <sz val="8"/>
        <rFont val="Times New Roman"/>
        <family val="1"/>
      </rPr>
      <t>05/8/2014</t>
    </r>
  </si>
  <si>
    <r>
      <t xml:space="preserve">BVLV </t>
    </r>
    <r>
      <rPr>
        <b/>
        <sz val="8"/>
        <rFont val="Times New Roman"/>
        <family val="1"/>
      </rPr>
      <t>08/5/2015
Bổ sung HP đợt 3</t>
    </r>
  </si>
  <si>
    <r>
      <t xml:space="preserve">BVLV </t>
    </r>
    <r>
      <rPr>
        <b/>
        <sz val="8"/>
        <rFont val="Times New Roman"/>
        <family val="1"/>
      </rPr>
      <t>05/12/2014</t>
    </r>
  </si>
  <si>
    <r>
      <t xml:space="preserve">BVLV </t>
    </r>
    <r>
      <rPr>
        <b/>
        <sz val="8"/>
        <rFont val="Times New Roman"/>
        <family val="1"/>
      </rPr>
      <t>30/7/2015</t>
    </r>
  </si>
  <si>
    <r>
      <t xml:space="preserve">BVLV </t>
    </r>
    <r>
      <rPr>
        <b/>
        <sz val="8"/>
        <rFont val="Times New Roman"/>
        <family val="1"/>
      </rPr>
      <t>24/5/2015</t>
    </r>
  </si>
  <si>
    <r>
      <t xml:space="preserve">BVLV </t>
    </r>
    <r>
      <rPr>
        <b/>
        <sz val="8"/>
        <rFont val="Times New Roman"/>
        <family val="1"/>
      </rPr>
      <t>30/1/2016</t>
    </r>
  </si>
  <si>
    <r>
      <t xml:space="preserve">HP 2015-2016 - Biên lai 2015.01502
</t>
    </r>
    <r>
      <rPr>
        <b/>
        <sz val="8"/>
        <rFont val="Times New Roman"/>
        <family val="1"/>
      </rPr>
      <t>MỚI</t>
    </r>
  </si>
  <si>
    <r>
      <t xml:space="preserve">BVLV </t>
    </r>
    <r>
      <rPr>
        <b/>
        <sz val="8"/>
        <rFont val="Times New Roman"/>
        <family val="1"/>
      </rPr>
      <t>11/11/2015</t>
    </r>
  </si>
  <si>
    <r>
      <t xml:space="preserve">BVLV </t>
    </r>
    <r>
      <rPr>
        <b/>
        <sz val="8"/>
        <rFont val="Times New Roman"/>
        <family val="1"/>
      </rPr>
      <t>31/8/2015</t>
    </r>
  </si>
  <si>
    <r>
      <t xml:space="preserve">BVLV </t>
    </r>
    <r>
      <rPr>
        <b/>
        <sz val="8"/>
        <rFont val="Times New Roman"/>
        <family val="1"/>
      </rPr>
      <t>29/3/2016</t>
    </r>
  </si>
  <si>
    <r>
      <t xml:space="preserve">HP NCS 2015
</t>
    </r>
    <r>
      <rPr>
        <b/>
        <sz val="8"/>
        <rFont val="Times New Roman"/>
        <family val="1"/>
      </rPr>
      <t>MỚI</t>
    </r>
  </si>
  <si>
    <r>
      <t xml:space="preserve">BVLV  </t>
    </r>
    <r>
      <rPr>
        <b/>
        <sz val="8"/>
        <rFont val="Times New Roman"/>
        <family val="1"/>
      </rPr>
      <t>29/3/2016</t>
    </r>
  </si>
  <si>
    <r>
      <t xml:space="preserve">HP năm 2013-2014 và 2014-2015
HP năm 2012-2013 (1 kỳ)
</t>
    </r>
    <r>
      <rPr>
        <b/>
        <sz val="8"/>
        <rFont val="Times New Roman"/>
        <family val="1"/>
      </rPr>
      <t>BVLV 31/8/2015</t>
    </r>
  </si>
  <si>
    <r>
      <t>BVLV</t>
    </r>
    <r>
      <rPr>
        <b/>
        <sz val="8"/>
        <rFont val="Times New Roman"/>
        <family val="1"/>
      </rPr>
      <t xml:space="preserve"> 11/2015</t>
    </r>
  </si>
  <si>
    <r>
      <t xml:space="preserve">Phí nhập học +HTĐT +HP2013 +HTĐT + HPCH2014
BVLV </t>
    </r>
    <r>
      <rPr>
        <b/>
        <sz val="8"/>
        <rFont val="Times New Roman"/>
        <family val="1"/>
      </rPr>
      <t>8/5/2015</t>
    </r>
  </si>
  <si>
    <r>
      <t xml:space="preserve">HP 2015+HTĐT + HP2014 +Lệ phí thi +Phí nhập học
BVLV </t>
    </r>
    <r>
      <rPr>
        <b/>
        <sz val="8"/>
        <rFont val="Times New Roman"/>
        <family val="1"/>
      </rPr>
      <t>08/5/2015</t>
    </r>
  </si>
  <si>
    <r>
      <t xml:space="preserve">Lệ phí ôn thi +HP 9/2014 +HP kỳ 1+ lệ phí TS
BVLV </t>
    </r>
    <r>
      <rPr>
        <b/>
        <sz val="8"/>
        <rFont val="Times New Roman"/>
        <family val="1"/>
      </rPr>
      <t>31/8/2015</t>
    </r>
  </si>
  <si>
    <r>
      <t xml:space="preserve">HP 2015 + CH2014 + phí nhập học + hỗ trợ ĐT
BVLV </t>
    </r>
    <r>
      <rPr>
        <b/>
        <sz val="8"/>
        <rFont val="Times New Roman"/>
        <family val="1"/>
      </rPr>
      <t>13/5/2016</t>
    </r>
  </si>
  <si>
    <r>
      <t xml:space="preserve">HP 2014-2015 + 2015-2016 +bổ sung HP
BVLV </t>
    </r>
    <r>
      <rPr>
        <b/>
        <sz val="8"/>
        <rFont val="Times New Roman"/>
        <family val="1"/>
      </rPr>
      <t>29/3/2016</t>
    </r>
  </si>
  <si>
    <r>
      <t xml:space="preserve">HP NCS đợt 1
</t>
    </r>
    <r>
      <rPr>
        <b/>
        <sz val="8"/>
        <rFont val="Times New Roman"/>
        <family val="1"/>
      </rPr>
      <t>MỚI</t>
    </r>
  </si>
  <si>
    <r>
      <t xml:space="preserve">HP NCS đợt 1+ lệ phí thi + Phí học chuyển đổi+ HP đợt 2
</t>
    </r>
    <r>
      <rPr>
        <b/>
        <sz val="8"/>
        <rFont val="Times New Roman"/>
        <family val="1"/>
      </rPr>
      <t>Mới</t>
    </r>
  </si>
  <si>
    <r>
      <t xml:space="preserve">KP ôn tập + HTĐT+KP bổ sung+Tiền thẻ +HP2015-2016
</t>
    </r>
    <r>
      <rPr>
        <b/>
        <sz val="8"/>
        <rFont val="Times New Roman"/>
        <family val="1"/>
      </rPr>
      <t>MỚI</t>
    </r>
  </si>
  <si>
    <r>
      <t xml:space="preserve">BVLV </t>
    </r>
    <r>
      <rPr>
        <b/>
        <sz val="8"/>
        <rFont val="Times New Roman"/>
        <family val="1"/>
      </rPr>
      <t>4/2016</t>
    </r>
    <r>
      <rPr>
        <sz val="8"/>
        <rFont val="Times New Roman"/>
        <family val="1"/>
      </rPr>
      <t xml:space="preserve">
Hỗ trợ đào tạo + TL học tập </t>
    </r>
  </si>
  <si>
    <r>
      <rPr>
        <sz val="8"/>
        <rFont val="Times New Roman"/>
        <family val="1"/>
      </rPr>
      <t xml:space="preserve">BVLV </t>
    </r>
    <r>
      <rPr>
        <b/>
        <sz val="8"/>
        <rFont val="Times New Roman"/>
        <family val="1"/>
      </rPr>
      <t>03/2015
Thiếu bảng điểm</t>
    </r>
  </si>
  <si>
    <r>
      <t xml:space="preserve">BVLV </t>
    </r>
    <r>
      <rPr>
        <b/>
        <sz val="8"/>
        <rFont val="Times New Roman"/>
        <family val="1"/>
      </rPr>
      <t>02/2015
Học phí Hk1+2 (2013-14)</t>
    </r>
  </si>
  <si>
    <r>
      <t xml:space="preserve">BVLV </t>
    </r>
    <r>
      <rPr>
        <b/>
        <sz val="8"/>
        <rFont val="Times New Roman"/>
        <family val="1"/>
      </rPr>
      <t>01/2016</t>
    </r>
    <r>
      <rPr>
        <sz val="8"/>
        <rFont val="Times New Roman"/>
        <family val="1"/>
      </rPr>
      <t xml:space="preserve">
HP kỳ 1 +2</t>
    </r>
  </si>
  <si>
    <r>
      <t xml:space="preserve">BVLV </t>
    </r>
    <r>
      <rPr>
        <b/>
        <sz val="8"/>
        <rFont val="Times New Roman"/>
        <family val="1"/>
      </rPr>
      <t>02/2016
HP kỳ 4+3+2</t>
    </r>
  </si>
  <si>
    <r>
      <t xml:space="preserve">BVLV </t>
    </r>
    <r>
      <rPr>
        <b/>
        <sz val="8"/>
        <rFont val="Times New Roman"/>
        <family val="1"/>
      </rPr>
      <t>13/5/2016</t>
    </r>
    <r>
      <rPr>
        <sz val="8"/>
        <rFont val="Times New Roman"/>
        <family val="1"/>
      </rPr>
      <t xml:space="preserve">
HP 2015</t>
    </r>
  </si>
  <si>
    <r>
      <t xml:space="preserve">HP 2013-2015
BVLV </t>
    </r>
    <r>
      <rPr>
        <b/>
        <sz val="8"/>
        <rFont val="Times New Roman"/>
        <family val="1"/>
      </rPr>
      <t>3/2016</t>
    </r>
  </si>
  <si>
    <r>
      <t xml:space="preserve">HP 2013-2015
BVLV </t>
    </r>
    <r>
      <rPr>
        <b/>
        <sz val="8"/>
        <rFont val="Times New Roman"/>
        <family val="1"/>
      </rPr>
      <t xml:space="preserve">18/5/2016
</t>
    </r>
    <r>
      <rPr>
        <sz val="8"/>
        <rFont val="Times New Roman"/>
        <family val="1"/>
      </rPr>
      <t>Thiếu đĩa mềm</t>
    </r>
  </si>
  <si>
    <r>
      <t xml:space="preserve">BVLV </t>
    </r>
    <r>
      <rPr>
        <b/>
        <sz val="8"/>
        <rFont val="Times New Roman"/>
        <family val="1"/>
      </rPr>
      <t>20/1/2016</t>
    </r>
  </si>
  <si>
    <r>
      <t xml:space="preserve">BVLV </t>
    </r>
    <r>
      <rPr>
        <b/>
        <sz val="8"/>
        <rFont val="Times New Roman"/>
        <family val="1"/>
      </rPr>
      <t>4/2016</t>
    </r>
  </si>
  <si>
    <r>
      <rPr>
        <b/>
        <sz val="8"/>
        <rFont val="Times New Roman"/>
        <family val="1"/>
      </rPr>
      <t>BVLV 13/5/16</t>
    </r>
    <r>
      <rPr>
        <sz val="8"/>
        <rFont val="Times New Roman"/>
        <family val="1"/>
      </rPr>
      <t xml:space="preserve"> + Phí hỗ trợ đào tạo</t>
    </r>
  </si>
  <si>
    <r>
      <t xml:space="preserve">HP năm 2 + </t>
    </r>
    <r>
      <rPr>
        <b/>
        <sz val="8"/>
        <rFont val="Times New Roman"/>
        <family val="1"/>
      </rPr>
      <t>BVLV 12/2015</t>
    </r>
  </si>
  <si>
    <r>
      <t xml:space="preserve">HP đợt 2 - 2013
HP năm 2 (2014-15)
</t>
    </r>
    <r>
      <rPr>
        <b/>
        <sz val="8"/>
        <rFont val="Times New Roman"/>
        <family val="1"/>
      </rPr>
      <t>BVLV 06/4/2016</t>
    </r>
  </si>
  <si>
    <r>
      <t xml:space="preserve">BVLV </t>
    </r>
    <r>
      <rPr>
        <b/>
        <sz val="8"/>
        <rFont val="Times New Roman"/>
        <family val="1"/>
      </rPr>
      <t xml:space="preserve">8/2015
</t>
    </r>
  </si>
  <si>
    <r>
      <t xml:space="preserve">HP 2014-2015 </t>
    </r>
    <r>
      <rPr>
        <b/>
        <sz val="8"/>
        <rFont val="Times New Roman"/>
        <family val="1"/>
      </rPr>
      <t xml:space="preserve">(thiếu bảng điểm)
</t>
    </r>
    <r>
      <rPr>
        <sz val="8"/>
        <rFont val="Times New Roman"/>
        <family val="1"/>
      </rPr>
      <t xml:space="preserve">BVLV </t>
    </r>
    <r>
      <rPr>
        <b/>
        <sz val="8"/>
        <rFont val="Times New Roman"/>
        <family val="1"/>
      </rPr>
      <t>12/2015</t>
    </r>
  </si>
  <si>
    <r>
      <t xml:space="preserve">HP2014-2015+HTĐT
BVLV </t>
    </r>
    <r>
      <rPr>
        <b/>
        <sz val="8"/>
        <rFont val="Times New Roman"/>
        <family val="1"/>
      </rPr>
      <t>6/10/2015</t>
    </r>
  </si>
  <si>
    <r>
      <t xml:space="preserve">HP kỳ </t>
    </r>
    <r>
      <rPr>
        <sz val="8"/>
        <rFont val="Times New Roman"/>
        <family val="1"/>
      </rPr>
      <t>2+1+3</t>
    </r>
  </si>
  <si>
    <r>
      <t xml:space="preserve">HP kỳ </t>
    </r>
    <r>
      <rPr>
        <sz val="8"/>
        <rFont val="Times New Roman"/>
        <family val="1"/>
      </rPr>
      <t>3</t>
    </r>
  </si>
  <si>
    <r>
      <t xml:space="preserve">HP học kỳ 2 2014-2015
</t>
    </r>
    <r>
      <rPr>
        <b/>
        <sz val="8"/>
        <rFont val="Times New Roman"/>
        <family val="1"/>
      </rPr>
      <t>BVLV 18/5/2016</t>
    </r>
  </si>
  <si>
    <r>
      <t xml:space="preserve">BVLV 25/1/2016
</t>
    </r>
    <r>
      <rPr>
        <sz val="8"/>
        <rFont val="Times New Roman"/>
        <family val="1"/>
      </rPr>
      <t>HP (14/10/2015)</t>
    </r>
  </si>
  <si>
    <r>
      <t xml:space="preserve">Mới 
</t>
    </r>
    <r>
      <rPr>
        <sz val="8"/>
        <rFont val="Times New Roman"/>
        <family val="1"/>
      </rPr>
      <t>HP 2015-16, 2014-15,2014</t>
    </r>
  </si>
  <si>
    <r>
      <t xml:space="preserve">BVLV </t>
    </r>
    <r>
      <rPr>
        <b/>
        <sz val="8"/>
        <rFont val="Times New Roman"/>
        <family val="1"/>
      </rPr>
      <t>20/10/2015</t>
    </r>
  </si>
  <si>
    <r>
      <t xml:space="preserve">HP đợt 1 + đợt 2
</t>
    </r>
    <r>
      <rPr>
        <b/>
        <sz val="8"/>
        <rFont val="Times New Roman"/>
        <family val="1"/>
      </rPr>
      <t>MỚI</t>
    </r>
  </si>
  <si>
    <r>
      <t xml:space="preserve">HP kì 1 + 2
</t>
    </r>
    <r>
      <rPr>
        <b/>
        <sz val="8"/>
        <rFont val="Times New Roman"/>
        <family val="1"/>
      </rPr>
      <t>MỚI</t>
    </r>
  </si>
  <si>
    <r>
      <t xml:space="preserve">BVLV </t>
    </r>
    <r>
      <rPr>
        <b/>
        <sz val="8"/>
        <rFont val="Times New Roman"/>
        <family val="1"/>
      </rPr>
      <t>12/3/2016</t>
    </r>
  </si>
  <si>
    <r>
      <t xml:space="preserve">BVLV </t>
    </r>
    <r>
      <rPr>
        <b/>
        <sz val="8"/>
        <rFont val="Times New Roman"/>
        <family val="1"/>
      </rPr>
      <t>28/3/2016</t>
    </r>
  </si>
  <si>
    <r>
      <t xml:space="preserve">HP kỳ 2 2014-2015 + kỳ 1 2015-2016
BVLV </t>
    </r>
    <r>
      <rPr>
        <b/>
        <sz val="8"/>
        <rFont val="Times New Roman"/>
        <family val="1"/>
      </rPr>
      <t>10/10/2016</t>
    </r>
  </si>
  <si>
    <r>
      <t xml:space="preserve">BVLV </t>
    </r>
    <r>
      <rPr>
        <b/>
        <sz val="8"/>
        <rFont val="Times New Roman"/>
        <family val="1"/>
      </rPr>
      <t>25/1/2016
HP kỳ 2 2014-2015</t>
    </r>
  </si>
  <si>
    <r>
      <t xml:space="preserve">BVLV </t>
    </r>
    <r>
      <rPr>
        <b/>
        <sz val="8"/>
        <rFont val="Times New Roman"/>
        <family val="1"/>
      </rPr>
      <t>18/5/2016
HP kỳ 2 2014-2015</t>
    </r>
  </si>
  <si>
    <r>
      <t>BVLV 25/2</t>
    </r>
    <r>
      <rPr>
        <b/>
        <sz val="8"/>
        <rFont val="Times New Roman"/>
        <family val="1"/>
      </rPr>
      <t>/2016</t>
    </r>
  </si>
  <si>
    <r>
      <t xml:space="preserve">HPCH 2015 +HTĐT
BVLV </t>
    </r>
    <r>
      <rPr>
        <b/>
        <sz val="8"/>
        <rFont val="Times New Roman"/>
        <family val="1"/>
      </rPr>
      <t>13/5/2016</t>
    </r>
  </si>
  <si>
    <r>
      <t xml:space="preserve">BVLV </t>
    </r>
    <r>
      <rPr>
        <b/>
        <sz val="8"/>
        <rFont val="Times New Roman"/>
        <family val="1"/>
      </rPr>
      <t>18/3/2016</t>
    </r>
  </si>
  <si>
    <r>
      <t xml:space="preserve">HP kỳ 1 2015-2016 + kỳ 2 2014-2015
BVLV </t>
    </r>
    <r>
      <rPr>
        <b/>
        <sz val="8"/>
        <rFont val="Times New Roman"/>
        <family val="1"/>
      </rPr>
      <t>12/10/2016</t>
    </r>
  </si>
  <si>
    <r>
      <t xml:space="preserve">BVLV </t>
    </r>
    <r>
      <rPr>
        <b/>
        <sz val="8"/>
        <rFont val="Times New Roman"/>
        <family val="1"/>
      </rPr>
      <t>18/7/2016</t>
    </r>
  </si>
  <si>
    <r>
      <t xml:space="preserve">BVLV </t>
    </r>
    <r>
      <rPr>
        <b/>
        <sz val="8"/>
        <rFont val="Times New Roman"/>
        <family val="1"/>
      </rPr>
      <t>29/8/2016</t>
    </r>
  </si>
  <si>
    <r>
      <t xml:space="preserve">BVLV </t>
    </r>
    <r>
      <rPr>
        <b/>
        <sz val="8"/>
        <rFont val="Times New Roman"/>
        <family val="1"/>
      </rPr>
      <t>8/2015</t>
    </r>
    <r>
      <rPr>
        <sz val="8"/>
        <rFont val="Times New Roman"/>
        <family val="1"/>
      </rPr>
      <t xml:space="preserve">
HP năm 2013-2014; 2014-2015</t>
    </r>
  </si>
  <si>
    <r>
      <t xml:space="preserve">KP 4 kỳ
BVLV </t>
    </r>
    <r>
      <rPr>
        <b/>
        <sz val="8"/>
        <rFont val="Times New Roman"/>
        <family val="1"/>
      </rPr>
      <t>03/2016</t>
    </r>
  </si>
  <si>
    <r>
      <t xml:space="preserve">BVLV </t>
    </r>
    <r>
      <rPr>
        <b/>
        <sz val="8"/>
        <rFont val="Times New Roman"/>
        <family val="1"/>
      </rPr>
      <t>10/2015
Thiếu đĩa mềm</t>
    </r>
    <r>
      <rPr>
        <sz val="8"/>
        <rFont val="Times New Roman"/>
        <family val="1"/>
      </rPr>
      <t xml:space="preserve">
BL số 581 (9/4/2015) </t>
    </r>
    <r>
      <rPr>
        <b/>
        <sz val="8"/>
        <rFont val="Times New Roman"/>
        <family val="1"/>
      </rPr>
      <t>thiếu dấu đỏ</t>
    </r>
  </si>
  <si>
    <r>
      <t xml:space="preserve">BVLV </t>
    </r>
    <r>
      <rPr>
        <b/>
        <sz val="8"/>
        <rFont val="Times New Roman"/>
        <family val="1"/>
      </rPr>
      <t>10/2015
Thiếu bảng điểm + đĩa mềm</t>
    </r>
    <r>
      <rPr>
        <sz val="8"/>
        <rFont val="Times New Roman"/>
        <family val="1"/>
      </rPr>
      <t xml:space="preserve">
HP + phí nhập học + phí bảo vệ</t>
    </r>
  </si>
  <si>
    <r>
      <t xml:space="preserve">BVLV 24/8/2016
</t>
    </r>
    <r>
      <rPr>
        <sz val="8"/>
        <rFont val="Times New Roman"/>
        <family val="1"/>
      </rPr>
      <t xml:space="preserve">HP 2014-2016, đợt cuối, gia hạn luận văn 
BL B1  ko dc tính </t>
    </r>
  </si>
  <si>
    <r>
      <t xml:space="preserve">BVLV 26/6/2015
</t>
    </r>
    <r>
      <rPr>
        <sz val="8"/>
        <rFont val="Times New Roman"/>
        <family val="1"/>
      </rPr>
      <t>BIỂU 2013</t>
    </r>
  </si>
  <si>
    <r>
      <t xml:space="preserve">HP CH KTT K20 - Triết 
</t>
    </r>
    <r>
      <rPr>
        <b/>
        <sz val="8"/>
        <rFont val="Times New Roman"/>
        <family val="1"/>
      </rPr>
      <t>BVLV 29/3/2016</t>
    </r>
  </si>
  <si>
    <t>Học viện KH&amp;CN - Viện HL KH&amp;CN VN</t>
  </si>
  <si>
    <t>Tr P QL 
Phi Chính phủ</t>
  </si>
  <si>
    <t>CV phòng QL hóa học</t>
  </si>
  <si>
    <t xml:space="preserve">STT </t>
  </si>
  <si>
    <t>CV VPUBND Thành phố</t>
  </si>
  <si>
    <t>Phó TK khám Nhi - BV Xanhpôn</t>
  </si>
  <si>
    <t>Phó CC trưởng 
CC QL thị trường</t>
  </si>
  <si>
    <t>GV THPT chuyên Nguyễn Huệ</t>
  </si>
  <si>
    <t>Hiệu phó THPT Trần Hưng Đạo</t>
  </si>
  <si>
    <t>Hiệu phó THPT Trần Đăng Ninh</t>
  </si>
  <si>
    <t xml:space="preserve">GV Trường Bồi dưỡng CB giáo dục </t>
  </si>
  <si>
    <t>Trường trung cấp Kinh tế tin học HN</t>
  </si>
  <si>
    <t>THPT Hai Bà Trưng, Thạch Thất</t>
  </si>
  <si>
    <t>Trung tâm Giới thiệu việc làm</t>
  </si>
  <si>
    <t>Phòng Quản lý khoa học</t>
  </si>
  <si>
    <t>TT Khảo thí và đảm bảo chất lượng</t>
  </si>
  <si>
    <t>Ban tuyên giáo Quận ủy</t>
  </si>
  <si>
    <t>PCT Ủy ban MTTQ quận</t>
  </si>
  <si>
    <t>Hiệu phó 
trường Yên Hòa</t>
  </si>
  <si>
    <t>Văn phòng HĐND &amp; UBND quận</t>
  </si>
  <si>
    <t>Hiệu phó trường Tiểu học Mai Dịch</t>
  </si>
  <si>
    <t>Hiệu phó  Tiểu học Dịch Vọng B</t>
  </si>
  <si>
    <t>Trung tâm Văn hóa thị xã</t>
  </si>
  <si>
    <t xml:space="preserve">Văn phòng HĐND &amp; UBND </t>
  </si>
  <si>
    <t>Ban Tổ chức khu di tích Hương Sơn</t>
  </si>
  <si>
    <t>Hiệu phó THCS Thị trấn Trâu Quỳ</t>
  </si>
  <si>
    <t>Văn phòng HĐND &amp;UBND huyện</t>
  </si>
  <si>
    <t>Địa chính phường Kiến Hưng</t>
  </si>
  <si>
    <t xml:space="preserve">Trưởng bộ môn Việt Nam học </t>
  </si>
  <si>
    <t>*</t>
  </si>
  <si>
    <t>KT phát triển VN-Hà Lan</t>
  </si>
  <si>
    <t>CN dược phẩm và bào chế</t>
  </si>
  <si>
    <t>KT điều khiển và tự động hóa</t>
  </si>
  <si>
    <t>Lý luận và PP dạy học</t>
  </si>
  <si>
    <t>KT Chính trị</t>
  </si>
  <si>
    <t>Chuyển lại cho a Thanh vì anh đã trả tiền thừa cho Quỹ vào 29/4/2014</t>
  </si>
  <si>
    <t>Viện CNTT - Viện hàn lâm KHCN VN</t>
  </si>
  <si>
    <t>HV Chính trị KV I - HV Chính trị QG HCM</t>
  </si>
  <si>
    <t>HV KHXH - Viện Hàn lâm KH&amp;CN VN</t>
  </si>
  <si>
    <t>HP năm 2014-2015, 2013-2014, 2012-2013
BVLV 18/3/2015</t>
  </si>
  <si>
    <r>
      <t xml:space="preserve">HP 2013, 2012-2013, 2014-2015
BVLV </t>
    </r>
    <r>
      <rPr>
        <b/>
        <sz val="8"/>
        <rFont val="Times New Roman"/>
        <family val="1"/>
      </rPr>
      <t>18/3/2015</t>
    </r>
  </si>
  <si>
    <t>Hiệu phó Mầm non Nghĩa Đô</t>
  </si>
  <si>
    <t>Trừ 13050000 của 174. Nguyễn Thanh Thủy (Biểu 2013) chuyển nhầm =&gt; Chuyển cho Sở: 170463000</t>
  </si>
  <si>
    <t>Trừ 78525000 của 211.Đinh Quốc Khánh không thuộc CĐ Y tế Hà Đông (mà thuộc CĐ Y tế HN, nhập 2 lần). Chuyển đơn vị: 490464000</t>
  </si>
  <si>
    <t>Bù trừ do năm 2015 trả thừa 21 tháng(hết năm 2013 đã hỗ trợ đủ 30 tháng)</t>
  </si>
  <si>
    <t>Tính sai</t>
  </si>
  <si>
    <t>QUỸ SAU ĐH 10/2016</t>
  </si>
  <si>
    <t>(Mười bảy tỷ, bốn trăm bốn mươi hai triệu, một trăm mười bảy nghìn đồng)./.</t>
  </si>
  <si>
    <t>Số tháng hỗ trợ đợt tiếp theo
(tháng)</t>
  </si>
  <si>
    <r>
      <t xml:space="preserve">HP2013-2014 +2014-2015
BVLV </t>
    </r>
    <r>
      <rPr>
        <b/>
        <sz val="12"/>
        <rFont val="Times New Roman"/>
        <family val="1"/>
      </rPr>
      <t>23/2/2016</t>
    </r>
  </si>
  <si>
    <r>
      <t xml:space="preserve">HP đợt 2+1
BVLV </t>
    </r>
    <r>
      <rPr>
        <b/>
        <sz val="12"/>
        <rFont val="Times New Roman"/>
        <family val="1"/>
      </rPr>
      <t>08/1/2016</t>
    </r>
  </si>
  <si>
    <r>
      <t xml:space="preserve">HP đợt 2+1
BVLV </t>
    </r>
    <r>
      <rPr>
        <b/>
        <sz val="12"/>
        <rFont val="Times New Roman"/>
        <family val="1"/>
      </rPr>
      <t>24/5/2016 (tính 1210000)</t>
    </r>
  </si>
  <si>
    <r>
      <t xml:space="preserve">HP đợt 2+1
BVLV </t>
    </r>
    <r>
      <rPr>
        <b/>
        <sz val="12"/>
        <rFont val="Times New Roman"/>
        <family val="1"/>
      </rPr>
      <t>24/5/2016</t>
    </r>
  </si>
  <si>
    <r>
      <t xml:space="preserve">HP đợt 2+1
BVLV </t>
    </r>
    <r>
      <rPr>
        <b/>
        <sz val="12"/>
        <rFont val="Times New Roman"/>
        <family val="1"/>
      </rPr>
      <t>15/7/2016</t>
    </r>
  </si>
  <si>
    <r>
      <t>HP đợt 2+1
BVLV 24/5</t>
    </r>
    <r>
      <rPr>
        <b/>
        <sz val="12"/>
        <rFont val="Times New Roman"/>
        <family val="1"/>
      </rPr>
      <t>/2016</t>
    </r>
  </si>
  <si>
    <r>
      <t xml:space="preserve">HP 2013-2014&amp;2014-15
BVLV </t>
    </r>
    <r>
      <rPr>
        <b/>
        <sz val="12"/>
        <rFont val="Times New Roman"/>
        <family val="1"/>
      </rPr>
      <t>19/8/2015</t>
    </r>
  </si>
  <si>
    <r>
      <t xml:space="preserve">HP đợt 1+2
BVLV </t>
    </r>
    <r>
      <rPr>
        <b/>
        <sz val="12"/>
        <rFont val="Times New Roman"/>
        <family val="1"/>
      </rPr>
      <t>8/1/2016</t>
    </r>
  </si>
  <si>
    <r>
      <t xml:space="preserve">HP đợt 1+2 (2014-2015)
BVLV </t>
    </r>
    <r>
      <rPr>
        <b/>
        <sz val="12"/>
        <rFont val="Times New Roman"/>
        <family val="1"/>
      </rPr>
      <t>24/5/2016</t>
    </r>
  </si>
  <si>
    <r>
      <t xml:space="preserve">HP đợt 1+2 (2014-2015)
BVLV </t>
    </r>
    <r>
      <rPr>
        <b/>
        <sz val="12"/>
        <rFont val="Times New Roman"/>
        <family val="1"/>
      </rPr>
      <t>8/1/2016</t>
    </r>
  </si>
  <si>
    <r>
      <t>HP kỳ 1+2+3+4
BVLV 2</t>
    </r>
    <r>
      <rPr>
        <b/>
        <sz val="12"/>
        <rFont val="Times New Roman"/>
        <family val="1"/>
      </rPr>
      <t>8/3/2016</t>
    </r>
  </si>
  <si>
    <r>
      <t xml:space="preserve">HP 2014-2015
BVLV </t>
    </r>
    <r>
      <rPr>
        <b/>
        <sz val="12"/>
        <rFont val="Times New Roman"/>
        <family val="1"/>
      </rPr>
      <t>23/2/2016</t>
    </r>
  </si>
  <si>
    <r>
      <t xml:space="preserve">HP đợt 1+2
BVLV </t>
    </r>
    <r>
      <rPr>
        <b/>
        <sz val="12"/>
        <rFont val="Times New Roman"/>
        <family val="1"/>
      </rPr>
      <t>08/1//2016
Thiếu bảng điểm</t>
    </r>
  </si>
  <si>
    <r>
      <t xml:space="preserve">BVLV </t>
    </r>
    <r>
      <rPr>
        <b/>
        <sz val="12"/>
        <rFont val="Times New Roman"/>
        <family val="1"/>
      </rPr>
      <t>24/5/2016 (tính 1210000)
Thiếu bảng điểm</t>
    </r>
  </si>
  <si>
    <r>
      <t xml:space="preserve">HP đợt 1+2
BVLV </t>
    </r>
    <r>
      <rPr>
        <b/>
        <sz val="12"/>
        <rFont val="Times New Roman"/>
        <family val="1"/>
      </rPr>
      <t>08/1/2016
Thiếu bảng điểm</t>
    </r>
  </si>
  <si>
    <r>
      <t xml:space="preserve">HP đợt 1+HP khóa 13
BVLV </t>
    </r>
    <r>
      <rPr>
        <b/>
        <sz val="12"/>
        <rFont val="Times New Roman"/>
        <family val="1"/>
      </rPr>
      <t>15/7/2016
Thiếu bảng điểm</t>
    </r>
  </si>
  <si>
    <r>
      <t xml:space="preserve">HP kỳ 1+4+2
BVLV </t>
    </r>
    <r>
      <rPr>
        <b/>
        <sz val="12"/>
        <rFont val="Times New Roman"/>
        <family val="1"/>
      </rPr>
      <t>28/3/2016</t>
    </r>
  </si>
  <si>
    <r>
      <t xml:space="preserve">HP kỳđợt 2+1(2014-2015)
BVLV </t>
    </r>
    <r>
      <rPr>
        <b/>
        <sz val="12"/>
        <rFont val="Times New Roman"/>
        <family val="1"/>
      </rPr>
      <t>24/5/2016 (tính 1210000)</t>
    </r>
  </si>
  <si>
    <r>
      <t xml:space="preserve">HP kỳđợt 2+3(2014-2015)
BVLV </t>
    </r>
    <r>
      <rPr>
        <b/>
        <sz val="12"/>
        <rFont val="Times New Roman"/>
        <family val="1"/>
      </rPr>
      <t>24/5/2016 (tính 1210000)
Thiếu bảng điểm</t>
    </r>
  </si>
  <si>
    <r>
      <t>HP2013-2014,2014-2015
BVLV 2</t>
    </r>
    <r>
      <rPr>
        <b/>
        <sz val="12"/>
        <rFont val="Times New Roman"/>
        <family val="1"/>
      </rPr>
      <t>3/2/2016</t>
    </r>
  </si>
  <si>
    <r>
      <t xml:space="preserve">HP kỳ 1+2+3+4
BVLV </t>
    </r>
    <r>
      <rPr>
        <b/>
        <sz val="12"/>
        <rFont val="Times New Roman"/>
        <family val="1"/>
      </rPr>
      <t>28/3/2016</t>
    </r>
  </si>
  <si>
    <r>
      <t xml:space="preserve">HP kỳ 1+2
BVLV </t>
    </r>
    <r>
      <rPr>
        <b/>
        <sz val="12"/>
        <rFont val="Times New Roman"/>
        <family val="1"/>
      </rPr>
      <t>08/01/2016</t>
    </r>
  </si>
  <si>
    <r>
      <t xml:space="preserve">HP kỳ 1+2
BVLV </t>
    </r>
    <r>
      <rPr>
        <b/>
        <sz val="12"/>
        <rFont val="Times New Roman"/>
        <family val="1"/>
      </rPr>
      <t>15/7//2016
Thiếu bảng điểm</t>
    </r>
  </si>
  <si>
    <r>
      <t xml:space="preserve">HP kỳ 2014-2015
BVLV </t>
    </r>
    <r>
      <rPr>
        <b/>
        <sz val="12"/>
        <rFont val="Times New Roman"/>
        <family val="1"/>
      </rPr>
      <t>18/3/2016
Thiếu bảng điểm</t>
    </r>
  </si>
  <si>
    <r>
      <t xml:space="preserve">HP đợt 1+2
</t>
    </r>
    <r>
      <rPr>
        <b/>
        <sz val="12"/>
        <rFont val="Times New Roman"/>
        <family val="1"/>
      </rPr>
      <t>BVLV 08/1/2016
Thiếu bảng điểm + đĩa mềm</t>
    </r>
  </si>
  <si>
    <r>
      <t xml:space="preserve">HP đợt 2013-2014; 2015
</t>
    </r>
    <r>
      <rPr>
        <b/>
        <sz val="12"/>
        <rFont val="Times New Roman"/>
        <family val="1"/>
      </rPr>
      <t>BVLV 06/10/2015
Thiếu bảng điểm + đĩa mềm</t>
    </r>
  </si>
  <si>
    <r>
      <t xml:space="preserve">HP đợt 2013-2014; kỳ 1 2014-2015
BVLV </t>
    </r>
    <r>
      <rPr>
        <b/>
        <sz val="12"/>
        <rFont val="Times New Roman"/>
        <family val="1"/>
      </rPr>
      <t>19/8/2015</t>
    </r>
  </si>
  <si>
    <r>
      <t xml:space="preserve">HP đợt 1+2; HP2015-2016
</t>
    </r>
    <r>
      <rPr>
        <b/>
        <sz val="12"/>
        <rFont val="Times New Roman"/>
        <family val="1"/>
      </rPr>
      <t>BVLV 19/8/2015</t>
    </r>
  </si>
  <si>
    <r>
      <t xml:space="preserve">HP đợt 2013-2014;2014-2015
BVLV </t>
    </r>
    <r>
      <rPr>
        <b/>
        <sz val="12"/>
        <rFont val="Times New Roman"/>
        <family val="1"/>
      </rPr>
      <t>19/8/2015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Thiếu bảng điểm+đĩa mềm</t>
    </r>
  </si>
  <si>
    <r>
      <t xml:space="preserve">HP đợt 1 + nhập học + đợt 2
BVLV </t>
    </r>
    <r>
      <rPr>
        <b/>
        <sz val="12"/>
        <rFont val="Times New Roman"/>
        <family val="1"/>
      </rPr>
      <t>12/3/2015</t>
    </r>
  </si>
  <si>
    <r>
      <t xml:space="preserve">HP kỳ 3+4; K02
BVLV </t>
    </r>
    <r>
      <rPr>
        <b/>
        <sz val="12"/>
        <rFont val="Times New Roman"/>
        <family val="1"/>
      </rPr>
      <t>9/11/2015</t>
    </r>
  </si>
  <si>
    <t>Học viên</t>
  </si>
  <si>
    <t xml:space="preserve">DANH SÁCH CÔNG CHỨC, VIÊN CHỨC ĐƯỢC HỖ TRỢ ĐÀO TẠO SAU ĐẠI HỌC Ở TRONG NƯỚC                                                                                                                                                                                               </t>
  </si>
  <si>
    <t>(Kèm theo Công văn số: 214/SGD&amp;ĐT-TCCB, ngày 24/01/2017 của Sở Giáo dục và Đào tạo Hà Nội)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</si>
</sst>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yyyy"/>
    <numFmt numFmtId="187" formatCode="[$-1009]mmmm\ d\,\ yyyy"/>
    <numFmt numFmtId="188" formatCode="_(* #,##0_);_(* \(#,##0\);_(* &quot;-&quot;??_);_(@_)"/>
    <numFmt numFmtId="189" formatCode="mmm\-yyyy"/>
    <numFmt numFmtId="190" formatCode="[$-1010000]d/m/yyyy;@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9">
    <font>
      <sz val="12"/>
      <name val="Times New Roman"/>
      <family val="0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.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Narrow"/>
      <family val="2"/>
    </font>
    <font>
      <sz val="9"/>
      <name val=".VnTime"/>
      <family val="2"/>
    </font>
    <font>
      <u val="single"/>
      <sz val="14.4"/>
      <color indexed="12"/>
      <name val="Times New Roman"/>
      <family val="1"/>
    </font>
    <font>
      <u val="single"/>
      <sz val="14.4"/>
      <color indexed="36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0"/>
      <name val=".VnTime"/>
      <family val="2"/>
    </font>
    <font>
      <b/>
      <sz val="12"/>
      <color indexed="10"/>
      <name val="Arial Narrow"/>
      <family val="2"/>
    </font>
    <font>
      <sz val="8"/>
      <color indexed="62"/>
      <name val="Arial Narrow"/>
      <family val="2"/>
    </font>
    <font>
      <sz val="8"/>
      <color indexed="54"/>
      <name val="Arial Narrow"/>
      <family val="2"/>
    </font>
    <font>
      <sz val="8"/>
      <color indexed="57"/>
      <name val="Arial Narrow"/>
      <family val="2"/>
    </font>
    <font>
      <b/>
      <sz val="8"/>
      <color indexed="10"/>
      <name val="Times New Roman"/>
      <family val="1"/>
    </font>
    <font>
      <b/>
      <sz val="8"/>
      <color indexed="6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Narrow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Narrow"/>
      <family val="2"/>
    </font>
    <font>
      <sz val="7"/>
      <color rgb="FFFF0000"/>
      <name val="Times New Roman"/>
      <family val="1"/>
    </font>
    <font>
      <sz val="9"/>
      <color rgb="FFFF0000"/>
      <name val="Arial Narrow"/>
      <family val="2"/>
    </font>
    <font>
      <sz val="9"/>
      <color rgb="FFFF0000"/>
      <name val=".VnTime"/>
      <family val="2"/>
    </font>
    <font>
      <b/>
      <sz val="7"/>
      <color rgb="FFFF0000"/>
      <name val="Times New Roman"/>
      <family val="1"/>
    </font>
    <font>
      <b/>
      <sz val="12"/>
      <color rgb="FFFF0000"/>
      <name val="Arial Narrow"/>
      <family val="2"/>
    </font>
    <font>
      <sz val="8"/>
      <color theme="3"/>
      <name val="Arial Narrow"/>
      <family val="2"/>
    </font>
    <font>
      <sz val="8"/>
      <color theme="7" tint="-0.24997000396251678"/>
      <name val="Arial Narrow"/>
      <family val="2"/>
    </font>
    <font>
      <sz val="8"/>
      <color theme="8" tint="-0.4999699890613556"/>
      <name val="Arial Narrow"/>
      <family val="2"/>
    </font>
    <font>
      <b/>
      <sz val="8"/>
      <color rgb="FFFF0000"/>
      <name val="Times New Roman"/>
      <family val="1"/>
    </font>
    <font>
      <b/>
      <sz val="8"/>
      <color theme="3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32" borderId="10" xfId="0" applyNumberFormat="1" applyFont="1" applyFill="1" applyBorder="1" applyAlignment="1">
      <alignment horizontal="right" vertical="center"/>
    </xf>
    <xf numFmtId="3" fontId="7" fillId="32" borderId="10" xfId="0" applyNumberFormat="1" applyFont="1" applyFill="1" applyBorder="1" applyAlignment="1">
      <alignment vertical="center"/>
    </xf>
    <xf numFmtId="3" fontId="9" fillId="32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8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2" borderId="10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12" fillId="0" borderId="10" xfId="0" applyNumberFormat="1" applyFont="1" applyFill="1" applyBorder="1" applyAlignment="1">
      <alignment horizontal="justify" vertical="center" wrapText="1"/>
    </xf>
    <xf numFmtId="3" fontId="12" fillId="0" borderId="10" xfId="0" applyNumberFormat="1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32" borderId="10" xfId="0" applyFont="1" applyFill="1" applyBorder="1" applyAlignment="1">
      <alignment horizontal="justify" vertical="center" wrapText="1"/>
    </xf>
    <xf numFmtId="3" fontId="12" fillId="0" borderId="11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18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18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left" vertical="center"/>
    </xf>
    <xf numFmtId="49" fontId="74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3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6" fillId="0" borderId="10" xfId="0" applyNumberFormat="1" applyFont="1" applyFill="1" applyBorder="1" applyAlignment="1">
      <alignment vertical="center"/>
    </xf>
    <xf numFmtId="3" fontId="7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>
      <alignment horizontal="justify" vertical="center" wrapText="1"/>
    </xf>
    <xf numFmtId="0" fontId="78" fillId="0" borderId="0" xfId="0" applyFont="1" applyFill="1" applyAlignment="1">
      <alignment vertical="center"/>
    </xf>
    <xf numFmtId="0" fontId="79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77" fillId="0" borderId="11" xfId="0" applyNumberFormat="1" applyFont="1" applyFill="1" applyBorder="1" applyAlignment="1">
      <alignment horizontal="justify" vertical="center" wrapText="1"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left" vertical="center"/>
    </xf>
    <xf numFmtId="49" fontId="74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3" fontId="76" fillId="34" borderId="10" xfId="0" applyNumberFormat="1" applyFont="1" applyFill="1" applyBorder="1" applyAlignment="1">
      <alignment horizontal="center" vertical="center"/>
    </xf>
    <xf numFmtId="3" fontId="76" fillId="34" borderId="10" xfId="0" applyNumberFormat="1" applyFont="1" applyFill="1" applyBorder="1" applyAlignment="1">
      <alignment vertical="center"/>
    </xf>
    <xf numFmtId="0" fontId="77" fillId="34" borderId="10" xfId="0" applyFont="1" applyFill="1" applyBorder="1" applyAlignment="1">
      <alignment horizontal="justify" vertical="center" wrapText="1"/>
    </xf>
    <xf numFmtId="3" fontId="80" fillId="34" borderId="10" xfId="0" applyNumberFormat="1" applyFont="1" applyFill="1" applyBorder="1" applyAlignment="1">
      <alignment horizontal="justify" vertical="center" wrapText="1"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86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16" fontId="78" fillId="0" borderId="10" xfId="0" applyNumberFormat="1" applyFont="1" applyBorder="1" applyAlignment="1">
      <alignment vertical="center"/>
    </xf>
    <xf numFmtId="3" fontId="76" fillId="37" borderId="10" xfId="0" applyNumberFormat="1" applyFont="1" applyFill="1" applyBorder="1" applyAlignment="1">
      <alignment vertical="center"/>
    </xf>
    <xf numFmtId="3" fontId="77" fillId="37" borderId="11" xfId="0" applyNumberFormat="1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10" xfId="0" applyNumberFormat="1" applyFont="1" applyFill="1" applyBorder="1" applyAlignment="1">
      <alignment horizontal="right" vertical="center"/>
    </xf>
    <xf numFmtId="3" fontId="7" fillId="35" borderId="10" xfId="0" applyNumberFormat="1" applyFont="1" applyFill="1" applyBorder="1" applyAlignment="1">
      <alignment vertical="center"/>
    </xf>
    <xf numFmtId="0" fontId="11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vertical="center"/>
    </xf>
    <xf numFmtId="186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16" fontId="74" fillId="0" borderId="10" xfId="0" applyNumberFormat="1" applyFont="1" applyFill="1" applyBorder="1" applyAlignment="1">
      <alignment vertical="center"/>
    </xf>
    <xf numFmtId="186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7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vertical="center"/>
    </xf>
    <xf numFmtId="3" fontId="75" fillId="0" borderId="10" xfId="0" applyNumberFormat="1" applyFont="1" applyFill="1" applyBorder="1" applyAlignment="1">
      <alignment vertical="center"/>
    </xf>
    <xf numFmtId="186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75" fillId="34" borderId="10" xfId="0" applyNumberFormat="1" applyFont="1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186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vertical="center"/>
    </xf>
    <xf numFmtId="3" fontId="75" fillId="34" borderId="10" xfId="0" applyNumberFormat="1" applyFont="1" applyFill="1" applyBorder="1" applyAlignment="1">
      <alignment horizontal="center" vertical="center"/>
    </xf>
    <xf numFmtId="0" fontId="77" fillId="34" borderId="10" xfId="0" applyNumberFormat="1" applyFont="1" applyFill="1" applyBorder="1" applyAlignment="1" applyProtection="1">
      <alignment horizontal="justify" vertical="center" wrapText="1"/>
      <protection hidden="1"/>
    </xf>
    <xf numFmtId="3" fontId="7" fillId="32" borderId="10" xfId="0" applyNumberFormat="1" applyFont="1" applyFill="1" applyBorder="1" applyAlignment="1">
      <alignment horizontal="justify" vertical="center"/>
    </xf>
    <xf numFmtId="3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186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81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1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center" wrapText="1"/>
    </xf>
    <xf numFmtId="3" fontId="6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186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4" fillId="34" borderId="0" xfId="0" applyFont="1" applyFill="1" applyBorder="1" applyAlignment="1">
      <alignment horizontal="left" vertical="center"/>
    </xf>
    <xf numFmtId="49" fontId="74" fillId="34" borderId="0" xfId="0" applyNumberFormat="1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 vertical="center" wrapText="1"/>
    </xf>
    <xf numFmtId="186" fontId="75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75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75" fillId="34" borderId="0" xfId="0" applyNumberFormat="1" applyFont="1" applyFill="1" applyBorder="1" applyAlignment="1">
      <alignment vertical="center"/>
    </xf>
    <xf numFmtId="3" fontId="80" fillId="34" borderId="0" xfId="0" applyNumberFormat="1" applyFont="1" applyFill="1" applyBorder="1" applyAlignment="1">
      <alignment horizontal="justify" vertical="center" wrapText="1"/>
    </xf>
    <xf numFmtId="0" fontId="74" fillId="34" borderId="0" xfId="0" applyFont="1" applyFill="1" applyBorder="1" applyAlignment="1">
      <alignment vertical="center"/>
    </xf>
    <xf numFmtId="186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6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8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" fontId="3" fillId="0" borderId="10" xfId="0" applyNumberFormat="1" applyFont="1" applyBorder="1" applyAlignment="1">
      <alignment vertical="center"/>
    </xf>
    <xf numFmtId="1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6" fontId="3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35" borderId="10" xfId="0" applyFont="1" applyFill="1" applyBorder="1" applyAlignment="1">
      <alignment horizontal="justify" vertical="center"/>
    </xf>
    <xf numFmtId="3" fontId="3" fillId="0" borderId="10" xfId="0" applyNumberFormat="1" applyFont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3" fontId="3" fillId="0" borderId="10" xfId="0" applyNumberFormat="1" applyFont="1" applyFill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NumberFormat="1" applyFont="1" applyFill="1" applyBorder="1" applyAlignment="1" applyProtection="1">
      <alignment horizontal="justify" vertical="center"/>
      <protection hidden="1"/>
    </xf>
    <xf numFmtId="3" fontId="3" fillId="0" borderId="11" xfId="0" applyNumberFormat="1" applyFont="1" applyFill="1" applyBorder="1" applyAlignment="1">
      <alignment horizontal="justify" vertical="center"/>
    </xf>
    <xf numFmtId="3" fontId="3" fillId="37" borderId="11" xfId="0" applyNumberFormat="1" applyFont="1" applyFill="1" applyBorder="1" applyAlignment="1">
      <alignment horizontal="justify" vertical="center"/>
    </xf>
    <xf numFmtId="0" fontId="7" fillId="32" borderId="10" xfId="0" applyFont="1" applyFill="1" applyBorder="1" applyAlignment="1">
      <alignment horizontal="justify" vertical="center"/>
    </xf>
    <xf numFmtId="0" fontId="3" fillId="0" borderId="10" xfId="58" applyFont="1" applyBorder="1" applyAlignment="1">
      <alignment horizontal="justify" vertical="center"/>
      <protection/>
    </xf>
    <xf numFmtId="3" fontId="3" fillId="0" borderId="11" xfId="0" applyNumberFormat="1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3" fontId="7" fillId="0" borderId="11" xfId="0" applyNumberFormat="1" applyFont="1" applyBorder="1" applyAlignment="1">
      <alignment horizontal="justify" vertical="center"/>
    </xf>
    <xf numFmtId="0" fontId="3" fillId="0" borderId="11" xfId="0" applyNumberFormat="1" applyFont="1" applyFill="1" applyBorder="1" applyAlignment="1" applyProtection="1">
      <alignment horizontal="justify" vertical="center"/>
      <protection hidden="1"/>
    </xf>
    <xf numFmtId="0" fontId="7" fillId="0" borderId="10" xfId="0" applyNumberFormat="1" applyFont="1" applyFill="1" applyBorder="1" applyAlignment="1" applyProtection="1">
      <alignment horizontal="justify" vertical="center"/>
      <protection hidden="1"/>
    </xf>
    <xf numFmtId="3" fontId="3" fillId="35" borderId="11" xfId="0" applyNumberFormat="1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186" fontId="3" fillId="0" borderId="10" xfId="0" applyNumberFormat="1" applyFont="1" applyFill="1" applyBorder="1" applyAlignment="1" applyProtection="1">
      <alignment vertical="center" wrapText="1"/>
      <protection locked="0"/>
    </xf>
    <xf numFmtId="0" fontId="83" fillId="0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10" xfId="0" applyNumberFormat="1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8" applyFont="1" applyBorder="1" applyAlignment="1">
      <alignment vertical="center"/>
      <protection/>
    </xf>
    <xf numFmtId="49" fontId="3" fillId="0" borderId="10" xfId="58" applyNumberFormat="1" applyFont="1" applyBorder="1" applyAlignment="1">
      <alignment horizontal="center" vertical="center"/>
      <protection/>
    </xf>
    <xf numFmtId="186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8" applyNumberFormat="1" applyFont="1" applyBorder="1" applyAlignment="1">
      <alignment horizontal="center" vertical="center"/>
      <protection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58" applyNumberFormat="1" applyFont="1" applyBorder="1" applyAlignment="1">
      <alignment vertical="center"/>
      <protection/>
    </xf>
    <xf numFmtId="186" fontId="3" fillId="0" borderId="10" xfId="58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86" fontId="3" fillId="0" borderId="15" xfId="0" applyNumberFormat="1" applyFont="1" applyFill="1" applyBorder="1" applyAlignment="1" applyProtection="1">
      <alignment vertical="center" wrapText="1"/>
      <protection locked="0"/>
    </xf>
    <xf numFmtId="186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8" applyNumberFormat="1" applyFont="1" applyFill="1" applyBorder="1" applyAlignment="1">
      <alignment horizontal="center" vertical="center"/>
      <protection/>
    </xf>
    <xf numFmtId="3" fontId="3" fillId="0" borderId="10" xfId="58" applyNumberFormat="1" applyFont="1" applyFill="1" applyBorder="1" applyAlignment="1">
      <alignment horizontal="center" vertical="center"/>
      <protection/>
    </xf>
    <xf numFmtId="0" fontId="85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3" fontId="76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75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18" fillId="39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justify" vertical="center"/>
    </xf>
    <xf numFmtId="0" fontId="82" fillId="40" borderId="0" xfId="0" applyFont="1" applyFill="1" applyAlignment="1">
      <alignment vertical="center"/>
    </xf>
    <xf numFmtId="0" fontId="8" fillId="40" borderId="0" xfId="0" applyFont="1" applyFill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186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32" borderId="10" xfId="0" applyNumberFormat="1" applyFont="1" applyFill="1" applyBorder="1" applyAlignment="1">
      <alignment horizontal="center" vertical="center"/>
    </xf>
    <xf numFmtId="186" fontId="1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2" borderId="10" xfId="0" applyNumberFormat="1" applyFont="1" applyFill="1" applyBorder="1" applyAlignment="1" applyProtection="1">
      <alignment horizontal="center" vertical="center" wrapText="1"/>
      <protection hidden="1"/>
    </xf>
    <xf numFmtId="3" fontId="18" fillId="32" borderId="10" xfId="0" applyNumberFormat="1" applyFont="1" applyFill="1" applyBorder="1" applyAlignment="1">
      <alignment horizontal="right" vertical="center"/>
    </xf>
    <xf numFmtId="3" fontId="18" fillId="35" borderId="10" xfId="0" applyNumberFormat="1" applyFont="1" applyFill="1" applyBorder="1" applyAlignment="1">
      <alignment vertical="center"/>
    </xf>
    <xf numFmtId="0" fontId="18" fillId="32" borderId="10" xfId="0" applyFont="1" applyFill="1" applyBorder="1" applyAlignment="1">
      <alignment horizontal="justify" vertical="center"/>
    </xf>
    <xf numFmtId="0" fontId="18" fillId="32" borderId="15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justify" vertical="center"/>
    </xf>
    <xf numFmtId="16" fontId="0" fillId="0" borderId="15" xfId="0" applyNumberFormat="1" applyFont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6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5" xfId="0" applyNumberFormat="1" applyFont="1" applyFill="1" applyBorder="1" applyAlignment="1" applyProtection="1">
      <alignment horizontal="center" vertical="center"/>
      <protection locked="0"/>
    </xf>
    <xf numFmtId="186" fontId="3" fillId="0" borderId="16" xfId="0" applyNumberFormat="1" applyFont="1" applyFill="1" applyBorder="1" applyAlignment="1" applyProtection="1">
      <alignment horizontal="center" vertical="center"/>
      <protection locked="0"/>
    </xf>
    <xf numFmtId="186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186" fontId="3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86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186" fontId="75" fillId="34" borderId="15" xfId="0" applyNumberFormat="1" applyFont="1" applyFill="1" applyBorder="1" applyAlignment="1" applyProtection="1">
      <alignment horizontal="center" vertical="center" wrapText="1"/>
      <protection locked="0"/>
    </xf>
    <xf numFmtId="186" fontId="75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18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5" fillId="34" borderId="15" xfId="0" applyFont="1" applyFill="1" applyBorder="1" applyAlignment="1">
      <alignment horizontal="center" vertical="center" wrapText="1"/>
    </xf>
    <xf numFmtId="0" fontId="85" fillId="34" borderId="17" xfId="0" applyFont="1" applyFill="1" applyBorder="1" applyAlignment="1">
      <alignment horizontal="center" vertical="center" wrapText="1"/>
    </xf>
    <xf numFmtId="0" fontId="85" fillId="34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6" fontId="76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7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8"/>
  <sheetViews>
    <sheetView zoomScale="120" zoomScaleNormal="120" zoomScaleSheetLayoutView="120" workbookViewId="0" topLeftCell="I737">
      <selection activeCell="V776" sqref="V776"/>
    </sheetView>
  </sheetViews>
  <sheetFormatPr defaultColWidth="11.00390625" defaultRowHeight="15.75" outlineLevelRow="2"/>
  <cols>
    <col min="1" max="1" width="4.875" style="26" customWidth="1"/>
    <col min="2" max="2" width="4.625" style="26" hidden="1" customWidth="1"/>
    <col min="3" max="3" width="14.625" style="49" customWidth="1"/>
    <col min="4" max="4" width="8.00390625" style="2" customWidth="1"/>
    <col min="5" max="5" width="11.625" style="46" customWidth="1"/>
    <col min="6" max="6" width="21.00390625" style="46" bestFit="1" customWidth="1"/>
    <col min="7" max="7" width="7.25390625" style="46" customWidth="1"/>
    <col min="8" max="8" width="9.50390625" style="46" customWidth="1"/>
    <col min="9" max="9" width="12.875" style="46" customWidth="1"/>
    <col min="10" max="10" width="6.125" style="23" customWidth="1"/>
    <col min="11" max="11" width="5.625" style="24" customWidth="1"/>
    <col min="12" max="12" width="5.625" style="25" customWidth="1"/>
    <col min="13" max="13" width="6.00390625" style="25" customWidth="1"/>
    <col min="14" max="14" width="5.625" style="25" customWidth="1"/>
    <col min="15" max="15" width="7.375" style="15" customWidth="1"/>
    <col min="16" max="16" width="10.25390625" style="16" bestFit="1" customWidth="1"/>
    <col min="17" max="17" width="9.50390625" style="16" bestFit="1" customWidth="1"/>
    <col min="18" max="18" width="10.625" style="16" bestFit="1" customWidth="1"/>
    <col min="19" max="19" width="9.50390625" style="16" bestFit="1" customWidth="1"/>
    <col min="20" max="20" width="21.625" style="253" customWidth="1"/>
    <col min="21" max="21" width="11.00390625" style="25" customWidth="1"/>
    <col min="22" max="16384" width="11.00390625" style="190" customWidth="1"/>
  </cols>
  <sheetData>
    <row r="1" spans="1:21" s="202" customFormat="1" ht="30" customHeight="1">
      <c r="A1" s="353" t="s">
        <v>1177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251"/>
      <c r="U1" s="25"/>
    </row>
    <row r="2" spans="1:21" s="203" customFormat="1" ht="27.75" customHeight="1">
      <c r="A2" s="354" t="s">
        <v>1982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252"/>
      <c r="U2" s="25"/>
    </row>
    <row r="3" spans="1:19" ht="26.25" customHeight="1">
      <c r="A3" s="231"/>
      <c r="B3" s="231"/>
      <c r="C3" s="232"/>
      <c r="D3" s="233"/>
      <c r="J3" s="234"/>
      <c r="K3" s="235"/>
      <c r="L3" s="238"/>
      <c r="M3" s="238"/>
      <c r="N3" s="239"/>
      <c r="O3" s="236"/>
      <c r="P3" s="237"/>
      <c r="Q3" s="237"/>
      <c r="R3" s="237"/>
      <c r="S3" s="237"/>
    </row>
    <row r="4" spans="1:21" s="272" customFormat="1" ht="26.25" customHeight="1">
      <c r="A4" s="355" t="s">
        <v>2140</v>
      </c>
      <c r="B4" s="355" t="s">
        <v>334</v>
      </c>
      <c r="C4" s="355" t="s">
        <v>335</v>
      </c>
      <c r="D4" s="356" t="s">
        <v>339</v>
      </c>
      <c r="E4" s="355" t="s">
        <v>1040</v>
      </c>
      <c r="F4" s="355" t="s">
        <v>652</v>
      </c>
      <c r="G4" s="355" t="s">
        <v>1041</v>
      </c>
      <c r="H4" s="355" t="s">
        <v>340</v>
      </c>
      <c r="I4" s="355" t="s">
        <v>653</v>
      </c>
      <c r="J4" s="357" t="s">
        <v>1042</v>
      </c>
      <c r="K4" s="358" t="s">
        <v>1178</v>
      </c>
      <c r="L4" s="355" t="s">
        <v>1043</v>
      </c>
      <c r="M4" s="355"/>
      <c r="N4" s="355" t="s">
        <v>1039</v>
      </c>
      <c r="O4" s="358" t="s">
        <v>51</v>
      </c>
      <c r="P4" s="359" t="s">
        <v>204</v>
      </c>
      <c r="Q4" s="359"/>
      <c r="R4" s="359"/>
      <c r="S4" s="359"/>
      <c r="T4" s="360" t="s">
        <v>338</v>
      </c>
      <c r="U4" s="355" t="s">
        <v>1331</v>
      </c>
    </row>
    <row r="5" spans="1:21" s="272" customFormat="1" ht="36.75" customHeight="1">
      <c r="A5" s="355"/>
      <c r="B5" s="355"/>
      <c r="C5" s="355"/>
      <c r="D5" s="356"/>
      <c r="E5" s="355"/>
      <c r="F5" s="355"/>
      <c r="G5" s="355"/>
      <c r="H5" s="355"/>
      <c r="I5" s="355"/>
      <c r="J5" s="357"/>
      <c r="K5" s="358"/>
      <c r="L5" s="207" t="s">
        <v>1179</v>
      </c>
      <c r="M5" s="207" t="s">
        <v>1180</v>
      </c>
      <c r="N5" s="355"/>
      <c r="O5" s="358"/>
      <c r="P5" s="208" t="s">
        <v>336</v>
      </c>
      <c r="Q5" s="208" t="s">
        <v>1045</v>
      </c>
      <c r="R5" s="208" t="s">
        <v>337</v>
      </c>
      <c r="S5" s="208" t="s">
        <v>1044</v>
      </c>
      <c r="T5" s="361"/>
      <c r="U5" s="355"/>
    </row>
    <row r="6" spans="1:21" s="273" customFormat="1" ht="27" customHeight="1" collapsed="1">
      <c r="A6" s="209"/>
      <c r="B6" s="209"/>
      <c r="C6" s="210" t="s">
        <v>699</v>
      </c>
      <c r="D6" s="211"/>
      <c r="E6" s="114"/>
      <c r="F6" s="114"/>
      <c r="G6" s="114"/>
      <c r="H6" s="114"/>
      <c r="I6" s="114"/>
      <c r="J6" s="136"/>
      <c r="K6" s="116"/>
      <c r="L6" s="117"/>
      <c r="M6" s="117"/>
      <c r="N6" s="118"/>
      <c r="O6" s="119"/>
      <c r="P6" s="120">
        <f>P7</f>
        <v>115500000</v>
      </c>
      <c r="Q6" s="120">
        <f>Q7</f>
        <v>0</v>
      </c>
      <c r="R6" s="120">
        <f>R7</f>
        <v>23500000</v>
      </c>
      <c r="S6" s="120">
        <f>S7</f>
        <v>92000000</v>
      </c>
      <c r="T6" s="254"/>
      <c r="U6" s="212"/>
    </row>
    <row r="7" spans="1:21" s="204" customFormat="1" ht="27" customHeight="1" collapsed="1">
      <c r="A7" s="274">
        <f>IF(B7&lt;&gt;"",SUBTOTAL(103,$D$7:$D7),"")</f>
        <v>1</v>
      </c>
      <c r="B7" s="274">
        <f>IF(C7&lt;&gt;"",SUBTOTAL(103,$C$7:$C7),"")</f>
        <v>1</v>
      </c>
      <c r="C7" s="221" t="s">
        <v>673</v>
      </c>
      <c r="D7" s="47" t="s">
        <v>1122</v>
      </c>
      <c r="E7" s="42" t="s">
        <v>674</v>
      </c>
      <c r="F7" s="42" t="s">
        <v>675</v>
      </c>
      <c r="G7" s="42" t="s">
        <v>341</v>
      </c>
      <c r="H7" s="42" t="s">
        <v>667</v>
      </c>
      <c r="I7" s="42" t="s">
        <v>676</v>
      </c>
      <c r="J7" s="45">
        <v>40878</v>
      </c>
      <c r="K7" s="128">
        <v>30</v>
      </c>
      <c r="L7" s="362" t="s">
        <v>46</v>
      </c>
      <c r="M7" s="363"/>
      <c r="N7" s="101">
        <v>0</v>
      </c>
      <c r="O7" s="129">
        <v>1150000</v>
      </c>
      <c r="P7" s="129">
        <f>Q7+R7+S7</f>
        <v>115500000</v>
      </c>
      <c r="Q7" s="129">
        <f>N7*O7*1.5</f>
        <v>0</v>
      </c>
      <c r="R7" s="129">
        <f>13000000+10500000</f>
        <v>23500000</v>
      </c>
      <c r="S7" s="129">
        <f>80*O7</f>
        <v>92000000</v>
      </c>
      <c r="T7" s="255" t="s">
        <v>1983</v>
      </c>
      <c r="U7" s="222"/>
    </row>
    <row r="8" spans="1:21" s="273" customFormat="1" ht="27" customHeight="1" collapsed="1">
      <c r="A8" s="274">
        <f>IF(B8&lt;&gt;"",SUBTOTAL(103,$D$7:$D8),"")</f>
      </c>
      <c r="B8" s="209"/>
      <c r="C8" s="210" t="s">
        <v>47</v>
      </c>
      <c r="D8" s="211"/>
      <c r="E8" s="114"/>
      <c r="F8" s="114"/>
      <c r="G8" s="114"/>
      <c r="H8" s="114"/>
      <c r="I8" s="114"/>
      <c r="J8" s="136"/>
      <c r="K8" s="116"/>
      <c r="L8" s="117"/>
      <c r="M8" s="117"/>
      <c r="N8" s="118"/>
      <c r="O8" s="119"/>
      <c r="P8" s="120">
        <f>SUM(P9:P11)</f>
        <v>136387500</v>
      </c>
      <c r="Q8" s="120">
        <f>SUM(Q9:Q11)</f>
        <v>13800000</v>
      </c>
      <c r="R8" s="120">
        <f>SUM(R9:R11)</f>
        <v>25787500</v>
      </c>
      <c r="S8" s="120">
        <f>SUM(S9:S11)</f>
        <v>96800000</v>
      </c>
      <c r="T8" s="254"/>
      <c r="U8" s="212"/>
    </row>
    <row r="9" spans="1:21" s="204" customFormat="1" ht="27" customHeight="1">
      <c r="A9" s="274">
        <f>IF(B9&lt;&gt;"",SUBTOTAL(103,$D$7:$D9),"")</f>
        <v>2</v>
      </c>
      <c r="B9" s="274">
        <f>IF(C9&lt;&gt;"",SUBTOTAL(103,$C$9:$C9),"")</f>
        <v>1</v>
      </c>
      <c r="C9" s="221" t="s">
        <v>55</v>
      </c>
      <c r="D9" s="47" t="s">
        <v>56</v>
      </c>
      <c r="E9" s="42" t="s">
        <v>57</v>
      </c>
      <c r="F9" s="42" t="s">
        <v>58</v>
      </c>
      <c r="G9" s="42" t="s">
        <v>341</v>
      </c>
      <c r="H9" s="42" t="s">
        <v>48</v>
      </c>
      <c r="I9" s="42" t="s">
        <v>59</v>
      </c>
      <c r="J9" s="45">
        <v>40909</v>
      </c>
      <c r="K9" s="128">
        <v>30</v>
      </c>
      <c r="L9" s="362" t="s">
        <v>46</v>
      </c>
      <c r="M9" s="363"/>
      <c r="N9" s="101">
        <v>0</v>
      </c>
      <c r="O9" s="129">
        <v>1210000</v>
      </c>
      <c r="P9" s="129">
        <f>Q9+R9+S9</f>
        <v>96800000</v>
      </c>
      <c r="Q9" s="129">
        <f>N9*O9*1.5</f>
        <v>0</v>
      </c>
      <c r="R9" s="129">
        <v>0</v>
      </c>
      <c r="S9" s="129">
        <f>80*O9</f>
        <v>96800000</v>
      </c>
      <c r="T9" s="255" t="s">
        <v>1984</v>
      </c>
      <c r="U9" s="222"/>
    </row>
    <row r="10" spans="1:21" s="204" customFormat="1" ht="27" customHeight="1">
      <c r="A10" s="274">
        <f>IF(B10&lt;&gt;"",SUBTOTAL(103,$D$7:$D10),"")</f>
        <v>3</v>
      </c>
      <c r="B10" s="274">
        <f>IF(C10&lt;&gt;"",SUBTOTAL(103,$C$9:$C10),"")</f>
        <v>2</v>
      </c>
      <c r="C10" s="221" t="s">
        <v>72</v>
      </c>
      <c r="D10" s="47" t="s">
        <v>73</v>
      </c>
      <c r="E10" s="42" t="s">
        <v>10</v>
      </c>
      <c r="F10" s="42" t="s">
        <v>74</v>
      </c>
      <c r="G10" s="42" t="s">
        <v>346</v>
      </c>
      <c r="H10" s="42" t="s">
        <v>1137</v>
      </c>
      <c r="I10" s="42" t="s">
        <v>75</v>
      </c>
      <c r="J10" s="45">
        <v>41913</v>
      </c>
      <c r="K10" s="128">
        <v>15</v>
      </c>
      <c r="L10" s="45">
        <v>42370</v>
      </c>
      <c r="M10" s="45">
        <v>42461</v>
      </c>
      <c r="N10" s="128">
        <f>DATEDIF(L10,M10,"m")+1</f>
        <v>4</v>
      </c>
      <c r="O10" s="129">
        <v>1150000</v>
      </c>
      <c r="P10" s="129">
        <f>Q10+R10+S10</f>
        <v>32687500</v>
      </c>
      <c r="Q10" s="129">
        <f>N10*O10*1.5</f>
        <v>6900000</v>
      </c>
      <c r="R10" s="129">
        <f>11287500+12000000+2500000</f>
        <v>25787500</v>
      </c>
      <c r="S10" s="129">
        <v>0</v>
      </c>
      <c r="T10" s="255" t="s">
        <v>1963</v>
      </c>
      <c r="U10" s="240">
        <v>42663</v>
      </c>
    </row>
    <row r="11" spans="1:21" s="276" customFormat="1" ht="27" customHeight="1">
      <c r="A11" s="274">
        <f>IF(B11&lt;&gt;"",SUBTOTAL(103,$D$7:$D11),"")</f>
        <v>4</v>
      </c>
      <c r="B11" s="274">
        <f>IF(C11&lt;&gt;"",SUBTOTAL(103,$C$9:$C11),"")</f>
        <v>3</v>
      </c>
      <c r="C11" s="221" t="s">
        <v>910</v>
      </c>
      <c r="D11" s="47" t="s">
        <v>911</v>
      </c>
      <c r="E11" s="42" t="s">
        <v>76</v>
      </c>
      <c r="F11" s="42" t="s">
        <v>77</v>
      </c>
      <c r="G11" s="42" t="s">
        <v>346</v>
      </c>
      <c r="H11" s="42" t="s">
        <v>78</v>
      </c>
      <c r="I11" s="42" t="s">
        <v>1159</v>
      </c>
      <c r="J11" s="45">
        <v>41913</v>
      </c>
      <c r="K11" s="128">
        <v>15</v>
      </c>
      <c r="L11" s="45">
        <v>42370</v>
      </c>
      <c r="M11" s="45">
        <v>42461</v>
      </c>
      <c r="N11" s="128">
        <f>DATEDIF(L11,M11,"m")+1</f>
        <v>4</v>
      </c>
      <c r="O11" s="129">
        <v>1150000</v>
      </c>
      <c r="P11" s="129">
        <f>Q11+R11+S11</f>
        <v>6900000</v>
      </c>
      <c r="Q11" s="129">
        <f>N11*O11*1.5</f>
        <v>6900000</v>
      </c>
      <c r="R11" s="129">
        <v>0</v>
      </c>
      <c r="S11" s="129">
        <v>0</v>
      </c>
      <c r="T11" s="255" t="s">
        <v>1964</v>
      </c>
      <c r="U11" s="240">
        <v>42664</v>
      </c>
    </row>
    <row r="12" spans="1:21" s="273" customFormat="1" ht="27" customHeight="1" collapsed="1">
      <c r="A12" s="274">
        <f>IF(B12&lt;&gt;"",SUBTOTAL(103,$D$7:$D12),"")</f>
      </c>
      <c r="B12" s="209"/>
      <c r="C12" s="210" t="s">
        <v>702</v>
      </c>
      <c r="D12" s="211"/>
      <c r="E12" s="114"/>
      <c r="F12" s="114"/>
      <c r="G12" s="114"/>
      <c r="H12" s="114"/>
      <c r="I12" s="114"/>
      <c r="J12" s="136"/>
      <c r="K12" s="116"/>
      <c r="L12" s="117"/>
      <c r="M12" s="117"/>
      <c r="N12" s="118"/>
      <c r="O12" s="119"/>
      <c r="P12" s="120">
        <f>SUBTOTAL(109,P13:P13)</f>
        <v>33115000</v>
      </c>
      <c r="Q12" s="120">
        <f>SUBTOTAL(109,Q13:Q13)</f>
        <v>8715000</v>
      </c>
      <c r="R12" s="120">
        <f>SUBTOTAL(109,R13:R13)</f>
        <v>24400000</v>
      </c>
      <c r="S12" s="120">
        <f>SUBTOTAL(109,S13:S13)</f>
        <v>0</v>
      </c>
      <c r="T12" s="254"/>
      <c r="U12" s="212"/>
    </row>
    <row r="13" spans="1:21" s="204" customFormat="1" ht="27" customHeight="1">
      <c r="A13" s="274">
        <f>IF(B13&lt;&gt;"",SUBTOTAL(103,$D$7:$D13),"")</f>
        <v>5</v>
      </c>
      <c r="B13" s="274">
        <f>IF(C13&lt;&gt;"",SUBTOTAL(103,$C$13:$C13),"")</f>
        <v>1</v>
      </c>
      <c r="C13" s="221" t="s">
        <v>79</v>
      </c>
      <c r="D13" s="47" t="s">
        <v>80</v>
      </c>
      <c r="E13" s="42" t="s">
        <v>81</v>
      </c>
      <c r="F13" s="42" t="s">
        <v>82</v>
      </c>
      <c r="G13" s="42" t="s">
        <v>346</v>
      </c>
      <c r="H13" s="42" t="s">
        <v>83</v>
      </c>
      <c r="I13" s="42" t="s">
        <v>84</v>
      </c>
      <c r="J13" s="45">
        <v>41913</v>
      </c>
      <c r="K13" s="128">
        <v>15</v>
      </c>
      <c r="L13" s="45">
        <v>42370</v>
      </c>
      <c r="M13" s="45">
        <v>42491</v>
      </c>
      <c r="N13" s="128">
        <f>DATEDIF(L13,M13,"m")+1</f>
        <v>5</v>
      </c>
      <c r="O13" s="129"/>
      <c r="P13" s="129">
        <f>Q13+R13+S13</f>
        <v>33115000</v>
      </c>
      <c r="Q13" s="129">
        <f>SUM(Q14:Q15)</f>
        <v>8715000</v>
      </c>
      <c r="R13" s="129">
        <f>4250000+4000000+9150000+7000000</f>
        <v>24400000</v>
      </c>
      <c r="S13" s="309">
        <v>0</v>
      </c>
      <c r="T13" s="255" t="s">
        <v>1522</v>
      </c>
      <c r="U13" s="222"/>
    </row>
    <row r="14" spans="1:21" s="204" customFormat="1" ht="27" customHeight="1" hidden="1" outlineLevel="1">
      <c r="A14" s="274">
        <f>IF(B14&lt;&gt;"",SUBTOTAL(103,$D$7:$D14),"")</f>
      </c>
      <c r="B14" s="274"/>
      <c r="C14" s="221"/>
      <c r="D14" s="47"/>
      <c r="E14" s="42"/>
      <c r="F14" s="42"/>
      <c r="G14" s="42"/>
      <c r="H14" s="42"/>
      <c r="I14" s="42"/>
      <c r="J14" s="45"/>
      <c r="K14" s="128"/>
      <c r="L14" s="45">
        <v>42370</v>
      </c>
      <c r="M14" s="45">
        <v>42461</v>
      </c>
      <c r="N14" s="128">
        <f>DATEDIF(L14,M14,"m")+1</f>
        <v>4</v>
      </c>
      <c r="O14" s="129">
        <v>1150000</v>
      </c>
      <c r="P14" s="129"/>
      <c r="Q14" s="129">
        <f>N14*O14*1.5</f>
        <v>6900000</v>
      </c>
      <c r="R14" s="129"/>
      <c r="S14" s="101"/>
      <c r="T14" s="255"/>
      <c r="U14" s="222"/>
    </row>
    <row r="15" spans="1:21" s="204" customFormat="1" ht="27" customHeight="1" hidden="1" outlineLevel="1">
      <c r="A15" s="274">
        <f>IF(B15&lt;&gt;"",SUBTOTAL(103,$D$7:$D15),"")</f>
      </c>
      <c r="B15" s="274"/>
      <c r="C15" s="221"/>
      <c r="D15" s="47"/>
      <c r="E15" s="42"/>
      <c r="F15" s="42"/>
      <c r="G15" s="42"/>
      <c r="H15" s="42"/>
      <c r="I15" s="42"/>
      <c r="J15" s="45"/>
      <c r="K15" s="128"/>
      <c r="L15" s="45">
        <v>42491</v>
      </c>
      <c r="M15" s="45">
        <v>42491</v>
      </c>
      <c r="N15" s="128">
        <f>DATEDIF(L15,M15,"m")+1</f>
        <v>1</v>
      </c>
      <c r="O15" s="129">
        <v>1210000</v>
      </c>
      <c r="P15" s="129"/>
      <c r="Q15" s="129">
        <f>N15*O15*1.5</f>
        <v>1815000</v>
      </c>
      <c r="R15" s="129"/>
      <c r="S15" s="101"/>
      <c r="T15" s="255"/>
      <c r="U15" s="222"/>
    </row>
    <row r="16" spans="1:21" s="273" customFormat="1" ht="27" customHeight="1" collapsed="1">
      <c r="A16" s="274">
        <f>IF(B16&lt;&gt;"",SUBTOTAL(103,$D$7:$D16),"")</f>
      </c>
      <c r="B16" s="209"/>
      <c r="C16" s="210" t="s">
        <v>639</v>
      </c>
      <c r="D16" s="211"/>
      <c r="E16" s="114"/>
      <c r="F16" s="114"/>
      <c r="G16" s="114"/>
      <c r="H16" s="114"/>
      <c r="I16" s="114"/>
      <c r="J16" s="136"/>
      <c r="K16" s="116"/>
      <c r="L16" s="117"/>
      <c r="M16" s="117"/>
      <c r="N16" s="118"/>
      <c r="O16" s="119"/>
      <c r="P16" s="120">
        <f>SUBTOTAL(109,P17:P18)</f>
        <v>147775000</v>
      </c>
      <c r="Q16" s="120">
        <f>SUBTOTAL(109,Q17:Q18)</f>
        <v>-36225000</v>
      </c>
      <c r="R16" s="120">
        <f>SUBTOTAL(109,R17:R18)</f>
        <v>0</v>
      </c>
      <c r="S16" s="120">
        <f>SUBTOTAL(109,S17:S18)</f>
        <v>184000000</v>
      </c>
      <c r="T16" s="254"/>
      <c r="U16" s="212"/>
    </row>
    <row r="17" spans="1:21" s="204" customFormat="1" ht="27" customHeight="1">
      <c r="A17" s="274">
        <f>IF(B17&lt;&gt;"",SUBTOTAL(103,$D$7:$D17),"")</f>
        <v>6</v>
      </c>
      <c r="B17" s="274">
        <f>IF(C17&lt;&gt;"",SUBTOTAL(103,$C$17:$C17),"")</f>
        <v>1</v>
      </c>
      <c r="C17" s="221" t="s">
        <v>645</v>
      </c>
      <c r="D17" s="47" t="s">
        <v>646</v>
      </c>
      <c r="E17" s="42" t="s">
        <v>2138</v>
      </c>
      <c r="F17" s="42" t="s">
        <v>647</v>
      </c>
      <c r="G17" s="42" t="s">
        <v>341</v>
      </c>
      <c r="H17" s="42" t="s">
        <v>45</v>
      </c>
      <c r="I17" s="42" t="s">
        <v>44</v>
      </c>
      <c r="J17" s="45">
        <v>40179</v>
      </c>
      <c r="K17" s="128">
        <v>30</v>
      </c>
      <c r="L17" s="364" t="s">
        <v>46</v>
      </c>
      <c r="M17" s="364"/>
      <c r="N17" s="101">
        <v>0</v>
      </c>
      <c r="O17" s="277">
        <v>1150000</v>
      </c>
      <c r="P17" s="137">
        <f>Q17+R17+S17</f>
        <v>92000000</v>
      </c>
      <c r="Q17" s="137">
        <v>0</v>
      </c>
      <c r="R17" s="137">
        <v>0</v>
      </c>
      <c r="S17" s="137">
        <f>80*O17</f>
        <v>92000000</v>
      </c>
      <c r="T17" s="250" t="s">
        <v>1322</v>
      </c>
      <c r="U17" s="222"/>
    </row>
    <row r="18" spans="1:22" s="204" customFormat="1" ht="27" customHeight="1">
      <c r="A18" s="274">
        <f>IF(B18&lt;&gt;"",SUBTOTAL(103,$D$7:$D18),"")</f>
        <v>7</v>
      </c>
      <c r="B18" s="274">
        <f>IF(C18&lt;&gt;"",SUBTOTAL(103,$C$17:$C18),"")</f>
        <v>2</v>
      </c>
      <c r="C18" s="319" t="s">
        <v>711</v>
      </c>
      <c r="D18" s="47" t="s">
        <v>686</v>
      </c>
      <c r="E18" s="42" t="s">
        <v>1032</v>
      </c>
      <c r="F18" s="42" t="s">
        <v>687</v>
      </c>
      <c r="G18" s="42" t="s">
        <v>341</v>
      </c>
      <c r="H18" s="42" t="s">
        <v>718</v>
      </c>
      <c r="I18" s="42" t="s">
        <v>665</v>
      </c>
      <c r="J18" s="45">
        <v>40513</v>
      </c>
      <c r="K18" s="127">
        <v>30</v>
      </c>
      <c r="L18" s="364" t="s">
        <v>46</v>
      </c>
      <c r="M18" s="364"/>
      <c r="N18" s="101">
        <v>-21</v>
      </c>
      <c r="O18" s="58">
        <v>1150000</v>
      </c>
      <c r="P18" s="129">
        <f>Q18+R18+S18</f>
        <v>55775000</v>
      </c>
      <c r="Q18" s="129">
        <f>N18*O18*1.5</f>
        <v>-36225000</v>
      </c>
      <c r="R18" s="129">
        <v>0</v>
      </c>
      <c r="S18" s="137">
        <f>80*O18</f>
        <v>92000000</v>
      </c>
      <c r="T18" s="256" t="s">
        <v>1985</v>
      </c>
      <c r="U18" s="222"/>
      <c r="V18" s="318" t="s">
        <v>2181</v>
      </c>
    </row>
    <row r="19" spans="1:21" s="273" customFormat="1" ht="27" customHeight="1" collapsed="1">
      <c r="A19" s="274">
        <f>IF(B19&lt;&gt;"",SUBTOTAL(103,$D$7:$D19),"")</f>
      </c>
      <c r="B19" s="209"/>
      <c r="C19" s="210" t="s">
        <v>60</v>
      </c>
      <c r="D19" s="211"/>
      <c r="E19" s="114"/>
      <c r="F19" s="114"/>
      <c r="G19" s="114"/>
      <c r="H19" s="114"/>
      <c r="I19" s="114"/>
      <c r="J19" s="136"/>
      <c r="K19" s="116"/>
      <c r="L19" s="117"/>
      <c r="M19" s="117"/>
      <c r="N19" s="118"/>
      <c r="O19" s="119"/>
      <c r="P19" s="120">
        <f>SUBTOTAL(109,P20:P20)</f>
        <v>5500000</v>
      </c>
      <c r="Q19" s="120">
        <f>SUBTOTAL(109,Q20:Q20)</f>
        <v>0</v>
      </c>
      <c r="R19" s="120">
        <f>SUBTOTAL(109,R20:R20)</f>
        <v>5500000</v>
      </c>
      <c r="S19" s="120">
        <f>SUBTOTAL(109,S20:S20)</f>
        <v>0</v>
      </c>
      <c r="T19" s="254"/>
      <c r="U19" s="212"/>
    </row>
    <row r="20" spans="1:21" s="204" customFormat="1" ht="27" customHeight="1">
      <c r="A20" s="274">
        <f>IF(B20&lt;&gt;"",SUBTOTAL(103,$D$7:$D20),"")</f>
        <v>8</v>
      </c>
      <c r="B20" s="220">
        <f>IF(C26&lt;&gt;"",SUBTOTAL(103,$C$26:$C26),"")</f>
        <v>1</v>
      </c>
      <c r="C20" s="222" t="s">
        <v>1235</v>
      </c>
      <c r="D20" s="47" t="s">
        <v>2166</v>
      </c>
      <c r="E20" s="42" t="s">
        <v>2141</v>
      </c>
      <c r="F20" s="42" t="s">
        <v>1253</v>
      </c>
      <c r="G20" s="42" t="s">
        <v>346</v>
      </c>
      <c r="H20" s="42" t="s">
        <v>1254</v>
      </c>
      <c r="I20" s="42" t="s">
        <v>44</v>
      </c>
      <c r="J20" s="45">
        <v>40544</v>
      </c>
      <c r="K20" s="127">
        <v>20</v>
      </c>
      <c r="L20" s="364" t="s">
        <v>46</v>
      </c>
      <c r="M20" s="364"/>
      <c r="N20" s="101">
        <v>0</v>
      </c>
      <c r="O20" s="129"/>
      <c r="P20" s="129">
        <f>Q20+R20+S20</f>
        <v>5500000</v>
      </c>
      <c r="Q20" s="129">
        <f>N20*O20*1.5</f>
        <v>0</v>
      </c>
      <c r="R20" s="129">
        <v>5500000</v>
      </c>
      <c r="S20" s="129">
        <v>0</v>
      </c>
      <c r="T20" s="255" t="s">
        <v>1236</v>
      </c>
      <c r="U20" s="222"/>
    </row>
    <row r="21" spans="1:21" s="273" customFormat="1" ht="27" customHeight="1" collapsed="1">
      <c r="A21" s="274">
        <f>IF(B21&lt;&gt;"",SUBTOTAL(103,$D$7:$D21),"")</f>
      </c>
      <c r="B21" s="209"/>
      <c r="C21" s="210" t="s">
        <v>1980</v>
      </c>
      <c r="D21" s="211"/>
      <c r="E21" s="114"/>
      <c r="F21" s="114"/>
      <c r="G21" s="114"/>
      <c r="H21" s="114"/>
      <c r="I21" s="114"/>
      <c r="J21" s="136"/>
      <c r="K21" s="116"/>
      <c r="L21" s="117"/>
      <c r="M21" s="117"/>
      <c r="N21" s="118"/>
      <c r="O21" s="119"/>
      <c r="P21" s="120">
        <f>P22</f>
        <v>21420000</v>
      </c>
      <c r="Q21" s="120">
        <f>Q22</f>
        <v>21420000</v>
      </c>
      <c r="R21" s="120">
        <f>R22</f>
        <v>0</v>
      </c>
      <c r="S21" s="120">
        <f>S22</f>
        <v>0</v>
      </c>
      <c r="T21" s="254"/>
      <c r="U21" s="212"/>
    </row>
    <row r="22" spans="1:22" s="276" customFormat="1" ht="27" customHeight="1">
      <c r="A22" s="274">
        <f>IF(B22&lt;&gt;"",SUBTOTAL(103,$D$7:$D22),"")</f>
        <v>9</v>
      </c>
      <c r="B22" s="274">
        <f>IF(C22&lt;&gt;"",SUBTOTAL(103,$C$22:$C22),"")</f>
        <v>1</v>
      </c>
      <c r="C22" s="320" t="s">
        <v>8</v>
      </c>
      <c r="D22" s="275" t="s">
        <v>9</v>
      </c>
      <c r="E22" s="43" t="s">
        <v>10</v>
      </c>
      <c r="F22" s="43" t="s">
        <v>11</v>
      </c>
      <c r="G22" s="43" t="s">
        <v>341</v>
      </c>
      <c r="H22" s="43" t="s">
        <v>265</v>
      </c>
      <c r="I22" s="43" t="s">
        <v>12</v>
      </c>
      <c r="J22" s="45">
        <v>41913</v>
      </c>
      <c r="K22" s="128">
        <v>15</v>
      </c>
      <c r="L22" s="45">
        <v>42370</v>
      </c>
      <c r="M22" s="45">
        <v>42705</v>
      </c>
      <c r="N22" s="128">
        <f>DATEDIF(L22,M22,"m")+1</f>
        <v>12</v>
      </c>
      <c r="O22" s="129"/>
      <c r="P22" s="129">
        <f>Q22+R22+S22</f>
        <v>21420000</v>
      </c>
      <c r="Q22" s="129">
        <f>SUM(Q23:Q24)</f>
        <v>21420000</v>
      </c>
      <c r="R22" s="129">
        <v>0</v>
      </c>
      <c r="S22" s="129">
        <v>0</v>
      </c>
      <c r="T22" s="257" t="s">
        <v>1964</v>
      </c>
      <c r="U22" s="241">
        <v>42667</v>
      </c>
      <c r="V22" s="317" t="s">
        <v>2182</v>
      </c>
    </row>
    <row r="23" spans="1:21" s="276" customFormat="1" ht="27" customHeight="1" hidden="1" outlineLevel="1">
      <c r="A23" s="274"/>
      <c r="B23" s="274"/>
      <c r="C23" s="245"/>
      <c r="D23" s="275"/>
      <c r="E23" s="43"/>
      <c r="F23" s="43"/>
      <c r="G23" s="43"/>
      <c r="H23" s="43"/>
      <c r="I23" s="43"/>
      <c r="J23" s="45"/>
      <c r="K23" s="128"/>
      <c r="L23" s="45">
        <v>42370</v>
      </c>
      <c r="M23" s="45">
        <v>42461</v>
      </c>
      <c r="N23" s="128">
        <f>DATEDIF(L23,M23,"m")+1</f>
        <v>4</v>
      </c>
      <c r="O23" s="129">
        <v>1150000</v>
      </c>
      <c r="P23" s="129">
        <f>Q23+R23+S23</f>
        <v>6900000</v>
      </c>
      <c r="Q23" s="129">
        <f>N23*O23*1.5</f>
        <v>6900000</v>
      </c>
      <c r="R23" s="129">
        <v>0</v>
      </c>
      <c r="S23" s="129">
        <v>0</v>
      </c>
      <c r="T23" s="257"/>
      <c r="U23" s="241"/>
    </row>
    <row r="24" spans="1:22" s="276" customFormat="1" ht="27" customHeight="1" hidden="1" outlineLevel="1">
      <c r="A24" s="274"/>
      <c r="B24" s="274"/>
      <c r="C24" s="245"/>
      <c r="D24" s="275"/>
      <c r="E24" s="43"/>
      <c r="F24" s="43"/>
      <c r="G24" s="43"/>
      <c r="H24" s="43"/>
      <c r="I24" s="43"/>
      <c r="J24" s="45"/>
      <c r="K24" s="128"/>
      <c r="L24" s="45">
        <v>42491</v>
      </c>
      <c r="M24" s="45">
        <v>42705</v>
      </c>
      <c r="N24" s="128">
        <f>DATEDIF(L24,M24,"m")+1</f>
        <v>8</v>
      </c>
      <c r="O24" s="129">
        <v>1210000</v>
      </c>
      <c r="P24" s="129">
        <f>Q24+R24+S24</f>
        <v>14520000</v>
      </c>
      <c r="Q24" s="129">
        <f>N24*O24*1.5</f>
        <v>14520000</v>
      </c>
      <c r="R24" s="129">
        <v>0</v>
      </c>
      <c r="S24" s="129">
        <v>0</v>
      </c>
      <c r="T24" s="257"/>
      <c r="U24" s="241"/>
      <c r="V24" s="317" t="s">
        <v>2182</v>
      </c>
    </row>
    <row r="25" spans="1:21" s="273" customFormat="1" ht="27" customHeight="1" collapsed="1">
      <c r="A25" s="274">
        <f>IF(B25&lt;&gt;"",SUBTOTAL(103,$D$7:$D25),"")</f>
      </c>
      <c r="B25" s="209"/>
      <c r="C25" s="210" t="s">
        <v>496</v>
      </c>
      <c r="D25" s="211"/>
      <c r="E25" s="114"/>
      <c r="F25" s="114"/>
      <c r="G25" s="114"/>
      <c r="H25" s="114"/>
      <c r="I25" s="114"/>
      <c r="J25" s="136"/>
      <c r="K25" s="116"/>
      <c r="L25" s="117"/>
      <c r="M25" s="117"/>
      <c r="N25" s="118"/>
      <c r="O25" s="119"/>
      <c r="P25" s="120">
        <f>SUBTOTAL(109,P26:P26)</f>
        <v>26215000</v>
      </c>
      <c r="Q25" s="120">
        <f>SUBTOTAL(109,Q26:Q26)</f>
        <v>8715000</v>
      </c>
      <c r="R25" s="120">
        <f>SUBTOTAL(109,R26:R26)</f>
        <v>17500000</v>
      </c>
      <c r="S25" s="120">
        <f>SUBTOTAL(109,S26:S26)</f>
        <v>0</v>
      </c>
      <c r="T25" s="254"/>
      <c r="U25" s="212"/>
    </row>
    <row r="26" spans="1:21" s="204" customFormat="1" ht="27" customHeight="1" collapsed="1">
      <c r="A26" s="274">
        <f>IF(B26&lt;&gt;"",SUBTOTAL(103,$D$7:$D26),"")</f>
        <v>10</v>
      </c>
      <c r="B26" s="274">
        <f>IF(C26&lt;&gt;"",SUBTOTAL(103,$C$26:$C26),"")</f>
        <v>1</v>
      </c>
      <c r="C26" s="221" t="s">
        <v>497</v>
      </c>
      <c r="D26" s="47" t="s">
        <v>1117</v>
      </c>
      <c r="E26" s="42" t="s">
        <v>2139</v>
      </c>
      <c r="F26" s="42" t="s">
        <v>498</v>
      </c>
      <c r="G26" s="42" t="s">
        <v>346</v>
      </c>
      <c r="H26" s="42" t="s">
        <v>755</v>
      </c>
      <c r="I26" s="42" t="s">
        <v>499</v>
      </c>
      <c r="J26" s="45">
        <v>41913</v>
      </c>
      <c r="K26" s="128">
        <v>15</v>
      </c>
      <c r="L26" s="45">
        <v>42370</v>
      </c>
      <c r="M26" s="45">
        <v>42491</v>
      </c>
      <c r="N26" s="128">
        <f>DATEDIF(L26,M26,"m")+1</f>
        <v>5</v>
      </c>
      <c r="O26" s="217"/>
      <c r="P26" s="137">
        <f>Q26+R26+S26</f>
        <v>26215000</v>
      </c>
      <c r="Q26" s="129">
        <f>SUM(Q27:Q28)</f>
        <v>8715000</v>
      </c>
      <c r="R26" s="137">
        <f>8750000+8750000</f>
        <v>17500000</v>
      </c>
      <c r="S26" s="137"/>
      <c r="T26" s="258" t="s">
        <v>1244</v>
      </c>
      <c r="U26" s="222"/>
    </row>
    <row r="27" spans="1:21" s="204" customFormat="1" ht="27" customHeight="1" hidden="1" outlineLevel="1">
      <c r="A27" s="274">
        <f>IF(B27&lt;&gt;"",SUBTOTAL(103,$D$7:$D27),"")</f>
      </c>
      <c r="B27" s="274"/>
      <c r="C27" s="221"/>
      <c r="D27" s="47"/>
      <c r="E27" s="42"/>
      <c r="F27" s="42"/>
      <c r="G27" s="42"/>
      <c r="H27" s="42"/>
      <c r="I27" s="42"/>
      <c r="J27" s="45"/>
      <c r="K27" s="128"/>
      <c r="L27" s="45">
        <v>42370</v>
      </c>
      <c r="M27" s="45">
        <v>42461</v>
      </c>
      <c r="N27" s="128">
        <f>DATEDIF(L27,M27,"m")+1</f>
        <v>4</v>
      </c>
      <c r="O27" s="137">
        <v>1150000</v>
      </c>
      <c r="P27" s="137">
        <f>Q27+R27+S27</f>
        <v>6900000</v>
      </c>
      <c r="Q27" s="129">
        <f>N27*O27*1.5</f>
        <v>6900000</v>
      </c>
      <c r="R27" s="137"/>
      <c r="S27" s="137"/>
      <c r="T27" s="258"/>
      <c r="U27" s="222"/>
    </row>
    <row r="28" spans="1:21" s="204" customFormat="1" ht="27" customHeight="1" hidden="1" outlineLevel="1">
      <c r="A28" s="274">
        <f>IF(B28&lt;&gt;"",SUBTOTAL(103,$D$7:$D28),"")</f>
      </c>
      <c r="B28" s="274"/>
      <c r="C28" s="221"/>
      <c r="D28" s="47"/>
      <c r="E28" s="42"/>
      <c r="F28" s="42"/>
      <c r="G28" s="42"/>
      <c r="H28" s="42"/>
      <c r="I28" s="42"/>
      <c r="J28" s="45"/>
      <c r="K28" s="128"/>
      <c r="L28" s="45">
        <v>42491</v>
      </c>
      <c r="M28" s="45">
        <v>42521</v>
      </c>
      <c r="N28" s="128">
        <f>DATEDIF(L28,M28,"m")+1</f>
        <v>1</v>
      </c>
      <c r="O28" s="137">
        <v>1210000</v>
      </c>
      <c r="P28" s="137">
        <f>Q28+R28+S28</f>
        <v>1815000</v>
      </c>
      <c r="Q28" s="129">
        <f>N28*O28*1.5</f>
        <v>1815000</v>
      </c>
      <c r="R28" s="137"/>
      <c r="S28" s="137"/>
      <c r="T28" s="258"/>
      <c r="U28" s="222"/>
    </row>
    <row r="29" spans="1:21" s="273" customFormat="1" ht="27" customHeight="1" collapsed="1">
      <c r="A29" s="274">
        <f>IF(B29&lt;&gt;"",SUBTOTAL(103,$D$7:$D29),"")</f>
      </c>
      <c r="B29" s="209"/>
      <c r="C29" s="210" t="s">
        <v>476</v>
      </c>
      <c r="D29" s="211"/>
      <c r="E29" s="114"/>
      <c r="F29" s="114"/>
      <c r="G29" s="114"/>
      <c r="H29" s="114"/>
      <c r="I29" s="114"/>
      <c r="J29" s="136"/>
      <c r="K29" s="116"/>
      <c r="L29" s="117"/>
      <c r="M29" s="117"/>
      <c r="N29" s="118"/>
      <c r="O29" s="119"/>
      <c r="P29" s="120">
        <f>SUBTOTAL(109,P30:P47)</f>
        <v>282195000</v>
      </c>
      <c r="Q29" s="120">
        <f>SUBTOTAL(109,Q30:Q47)</f>
        <v>87795000</v>
      </c>
      <c r="R29" s="120">
        <f>SUBTOTAL(109,R30:R47)</f>
        <v>54600000</v>
      </c>
      <c r="S29" s="120">
        <f>SUBTOTAL(109,S30:S47)</f>
        <v>139800000</v>
      </c>
      <c r="T29" s="254"/>
      <c r="U29" s="212"/>
    </row>
    <row r="30" spans="1:21" s="204" customFormat="1" ht="27" customHeight="1">
      <c r="A30" s="274">
        <f>IF(B30&lt;&gt;"",SUBTOTAL(103,$D$7:$D30),"")</f>
        <v>11</v>
      </c>
      <c r="B30" s="274">
        <f>IF(C30&lt;&gt;"",SUBTOTAL(103,$C$30:$C30),"")</f>
        <v>1</v>
      </c>
      <c r="C30" s="221" t="s">
        <v>99</v>
      </c>
      <c r="D30" s="47" t="s">
        <v>100</v>
      </c>
      <c r="E30" s="42" t="s">
        <v>783</v>
      </c>
      <c r="F30" s="42" t="s">
        <v>784</v>
      </c>
      <c r="G30" s="42" t="s">
        <v>346</v>
      </c>
      <c r="H30" s="42" t="s">
        <v>477</v>
      </c>
      <c r="I30" s="42" t="s">
        <v>665</v>
      </c>
      <c r="J30" s="45">
        <v>41609</v>
      </c>
      <c r="K30" s="128">
        <v>20</v>
      </c>
      <c r="L30" s="362" t="s">
        <v>46</v>
      </c>
      <c r="M30" s="363"/>
      <c r="N30" s="101">
        <v>0</v>
      </c>
      <c r="O30" s="129">
        <v>1150000</v>
      </c>
      <c r="P30" s="129">
        <f>SUM(Q30:S30)</f>
        <v>49750000</v>
      </c>
      <c r="Q30" s="129">
        <f>N30*O30*1.5</f>
        <v>0</v>
      </c>
      <c r="R30" s="129">
        <f>8250000+7000000</f>
        <v>15250000</v>
      </c>
      <c r="S30" s="137">
        <f>30*O30</f>
        <v>34500000</v>
      </c>
      <c r="T30" s="255" t="s">
        <v>1986</v>
      </c>
      <c r="U30" s="240">
        <v>42646</v>
      </c>
    </row>
    <row r="31" spans="1:21" s="204" customFormat="1" ht="27" customHeight="1">
      <c r="A31" s="274">
        <f>IF(B31&lt;&gt;"",SUBTOTAL(103,$D$7:$D31),"")</f>
        <v>12</v>
      </c>
      <c r="B31" s="274">
        <f>IF(C31&lt;&gt;"",SUBTOTAL(103,$C$30:$C31),"")</f>
        <v>2</v>
      </c>
      <c r="C31" s="221" t="s">
        <v>172</v>
      </c>
      <c r="D31" s="47" t="s">
        <v>689</v>
      </c>
      <c r="E31" s="42" t="s">
        <v>1063</v>
      </c>
      <c r="F31" s="42" t="s">
        <v>173</v>
      </c>
      <c r="G31" s="42" t="s">
        <v>346</v>
      </c>
      <c r="H31" s="42" t="s">
        <v>101</v>
      </c>
      <c r="I31" s="42" t="s">
        <v>665</v>
      </c>
      <c r="J31" s="45">
        <v>41609</v>
      </c>
      <c r="K31" s="128">
        <v>20</v>
      </c>
      <c r="L31" s="362" t="s">
        <v>46</v>
      </c>
      <c r="M31" s="363"/>
      <c r="N31" s="128">
        <v>0</v>
      </c>
      <c r="O31" s="129">
        <v>1150000</v>
      </c>
      <c r="P31" s="129">
        <f>Q31+R31+S31</f>
        <v>34500000</v>
      </c>
      <c r="Q31" s="129">
        <f>N31*O31*1.5</f>
        <v>0</v>
      </c>
      <c r="R31" s="137">
        <v>0</v>
      </c>
      <c r="S31" s="137">
        <f>30*O31</f>
        <v>34500000</v>
      </c>
      <c r="T31" s="255" t="s">
        <v>1987</v>
      </c>
      <c r="U31" s="240">
        <v>42646</v>
      </c>
    </row>
    <row r="32" spans="1:21" s="204" customFormat="1" ht="27" customHeight="1">
      <c r="A32" s="274">
        <f>IF(B32&lt;&gt;"",SUBTOTAL(103,$D$7:$D32),"")</f>
        <v>13</v>
      </c>
      <c r="B32" s="274">
        <f>IF(C32&lt;&gt;"",SUBTOTAL(103,$C$30:$C32),"")</f>
        <v>3</v>
      </c>
      <c r="C32" s="221" t="s">
        <v>1513</v>
      </c>
      <c r="D32" s="47" t="s">
        <v>2166</v>
      </c>
      <c r="E32" s="42" t="s">
        <v>648</v>
      </c>
      <c r="F32" s="42" t="s">
        <v>1514</v>
      </c>
      <c r="G32" s="42" t="s">
        <v>346</v>
      </c>
      <c r="H32" s="42" t="s">
        <v>1515</v>
      </c>
      <c r="I32" s="42" t="s">
        <v>1046</v>
      </c>
      <c r="J32" s="45">
        <v>40756</v>
      </c>
      <c r="K32" s="128">
        <v>20</v>
      </c>
      <c r="L32" s="362" t="s">
        <v>46</v>
      </c>
      <c r="M32" s="363"/>
      <c r="N32" s="128">
        <v>0</v>
      </c>
      <c r="O32" s="129">
        <v>1150000</v>
      </c>
      <c r="P32" s="129">
        <f>SUM(Q32:S32)</f>
        <v>34500000</v>
      </c>
      <c r="Q32" s="129">
        <f>N32*O32*1.5</f>
        <v>0</v>
      </c>
      <c r="R32" s="129">
        <v>0</v>
      </c>
      <c r="S32" s="137">
        <f>30*O32</f>
        <v>34500000</v>
      </c>
      <c r="T32" s="255" t="s">
        <v>1988</v>
      </c>
      <c r="U32" s="240">
        <v>42646</v>
      </c>
    </row>
    <row r="33" spans="1:21" s="204" customFormat="1" ht="27" customHeight="1">
      <c r="A33" s="274">
        <f>IF(B33&lt;&gt;"",SUBTOTAL(103,$D$7:$D33),"")</f>
        <v>14</v>
      </c>
      <c r="B33" s="274">
        <f>IF(C33&lt;&gt;"",SUBTOTAL(103,$C$30:$C33),"")</f>
        <v>4</v>
      </c>
      <c r="C33" s="221" t="s">
        <v>1095</v>
      </c>
      <c r="D33" s="47" t="s">
        <v>1096</v>
      </c>
      <c r="E33" s="42" t="s">
        <v>294</v>
      </c>
      <c r="F33" s="42" t="s">
        <v>1097</v>
      </c>
      <c r="G33" s="42" t="s">
        <v>346</v>
      </c>
      <c r="H33" s="42" t="s">
        <v>1098</v>
      </c>
      <c r="I33" s="42" t="s">
        <v>665</v>
      </c>
      <c r="J33" s="45">
        <v>41760</v>
      </c>
      <c r="K33" s="128">
        <v>20</v>
      </c>
      <c r="L33" s="362" t="s">
        <v>46</v>
      </c>
      <c r="M33" s="363"/>
      <c r="N33" s="128">
        <v>0</v>
      </c>
      <c r="O33" s="137">
        <v>1210000</v>
      </c>
      <c r="P33" s="129">
        <f>Q33+R33+S33</f>
        <v>51550000</v>
      </c>
      <c r="Q33" s="129">
        <f>N33*O33*1.5</f>
        <v>0</v>
      </c>
      <c r="R33" s="129">
        <f>8250000+7000000</f>
        <v>15250000</v>
      </c>
      <c r="S33" s="137">
        <f>+O33*30</f>
        <v>36300000</v>
      </c>
      <c r="T33" s="255" t="s">
        <v>1511</v>
      </c>
      <c r="U33" s="240">
        <v>42646</v>
      </c>
    </row>
    <row r="34" spans="1:21" s="204" customFormat="1" ht="27" customHeight="1">
      <c r="A34" s="274">
        <f>IF(B34&lt;&gt;"",SUBTOTAL(103,$D$7:$D34),"")</f>
        <v>15</v>
      </c>
      <c r="B34" s="274">
        <f>IF(C34&lt;&gt;"",SUBTOTAL(103,$C$30:$C34),"")</f>
        <v>5</v>
      </c>
      <c r="C34" s="221" t="s">
        <v>1516</v>
      </c>
      <c r="D34" s="47" t="s">
        <v>1517</v>
      </c>
      <c r="E34" s="42" t="s">
        <v>1518</v>
      </c>
      <c r="F34" s="42" t="s">
        <v>1519</v>
      </c>
      <c r="G34" s="42" t="s">
        <v>346</v>
      </c>
      <c r="H34" s="42" t="s">
        <v>1520</v>
      </c>
      <c r="I34" s="42" t="s">
        <v>665</v>
      </c>
      <c r="J34" s="45">
        <v>42278</v>
      </c>
      <c r="K34" s="128">
        <v>0</v>
      </c>
      <c r="L34" s="278">
        <v>42278</v>
      </c>
      <c r="M34" s="278">
        <v>42705</v>
      </c>
      <c r="N34" s="128">
        <f>DATEDIF(L34,M34,"m")+1</f>
        <v>15</v>
      </c>
      <c r="O34" s="137"/>
      <c r="P34" s="129">
        <f>SUM(Q34:S34)</f>
        <v>30270000</v>
      </c>
      <c r="Q34" s="129">
        <f>SUM(Q35:Q36)</f>
        <v>21420000</v>
      </c>
      <c r="R34" s="129">
        <f>8250000+600000</f>
        <v>8850000</v>
      </c>
      <c r="S34" s="137">
        <v>0</v>
      </c>
      <c r="T34" s="255" t="s">
        <v>1521</v>
      </c>
      <c r="U34" s="240">
        <v>42646</v>
      </c>
    </row>
    <row r="35" spans="1:21" s="204" customFormat="1" ht="27" customHeight="1" hidden="1" outlineLevel="1">
      <c r="A35" s="274">
        <f>IF(B35&lt;&gt;"",SUBTOTAL(103,$D$7:$D35),"")</f>
      </c>
      <c r="B35" s="274">
        <f>IF(C35&lt;&gt;"",SUBTOTAL(103,$C$30:$C35),"")</f>
      </c>
      <c r="C35" s="221"/>
      <c r="D35" s="47"/>
      <c r="E35" s="42"/>
      <c r="F35" s="42"/>
      <c r="G35" s="42"/>
      <c r="H35" s="42"/>
      <c r="I35" s="42"/>
      <c r="J35" s="45"/>
      <c r="K35" s="128"/>
      <c r="L35" s="45">
        <v>42370</v>
      </c>
      <c r="M35" s="45">
        <v>42461</v>
      </c>
      <c r="N35" s="128">
        <f>DATEDIF(L35,M35,"m")+1</f>
        <v>4</v>
      </c>
      <c r="O35" s="137">
        <v>1150000</v>
      </c>
      <c r="P35" s="137">
        <f>Q35+R35+S35</f>
        <v>6900000</v>
      </c>
      <c r="Q35" s="129">
        <f>N35*O35*1.5</f>
        <v>6900000</v>
      </c>
      <c r="R35" s="137"/>
      <c r="S35" s="137"/>
      <c r="T35" s="255"/>
      <c r="U35" s="222"/>
    </row>
    <row r="36" spans="1:21" s="204" customFormat="1" ht="27" customHeight="1" hidden="1" outlineLevel="1">
      <c r="A36" s="274">
        <f>IF(B36&lt;&gt;"",SUBTOTAL(103,$D$7:$D36),"")</f>
      </c>
      <c r="B36" s="274">
        <f>IF(C36&lt;&gt;"",SUBTOTAL(103,$C$30:$C36),"")</f>
      </c>
      <c r="C36" s="221"/>
      <c r="D36" s="47"/>
      <c r="E36" s="42"/>
      <c r="F36" s="42"/>
      <c r="G36" s="42"/>
      <c r="H36" s="42"/>
      <c r="I36" s="42"/>
      <c r="J36" s="45"/>
      <c r="K36" s="128"/>
      <c r="L36" s="45">
        <v>42491</v>
      </c>
      <c r="M36" s="45">
        <v>42705</v>
      </c>
      <c r="N36" s="128">
        <f>DATEDIF(L36,M36,"m")+1</f>
        <v>8</v>
      </c>
      <c r="O36" s="137">
        <v>1210000</v>
      </c>
      <c r="P36" s="137">
        <f>Q36+R36+S36</f>
        <v>14520000</v>
      </c>
      <c r="Q36" s="129">
        <f>N36*O36*1.5</f>
        <v>14520000</v>
      </c>
      <c r="R36" s="137"/>
      <c r="S36" s="137"/>
      <c r="T36" s="255"/>
      <c r="U36" s="222"/>
    </row>
    <row r="37" spans="1:21" s="204" customFormat="1" ht="27" customHeight="1" collapsed="1">
      <c r="A37" s="274">
        <f>IF(B37&lt;&gt;"",SUBTOTAL(103,$D$7:$D37),"")</f>
        <v>16</v>
      </c>
      <c r="B37" s="274">
        <f>IF(C37&lt;&gt;"",SUBTOTAL(103,$C$30:$C37),"")</f>
        <v>6</v>
      </c>
      <c r="C37" s="221" t="s">
        <v>1099</v>
      </c>
      <c r="D37" s="47" t="s">
        <v>63</v>
      </c>
      <c r="E37" s="42" t="s">
        <v>723</v>
      </c>
      <c r="F37" s="42" t="s">
        <v>64</v>
      </c>
      <c r="G37" s="42" t="s">
        <v>346</v>
      </c>
      <c r="H37" s="42" t="s">
        <v>477</v>
      </c>
      <c r="I37" s="42" t="s">
        <v>665</v>
      </c>
      <c r="J37" s="45">
        <v>41760</v>
      </c>
      <c r="K37" s="128">
        <v>20</v>
      </c>
      <c r="L37" s="362"/>
      <c r="M37" s="363"/>
      <c r="N37" s="128">
        <v>0</v>
      </c>
      <c r="O37" s="129">
        <v>1150000</v>
      </c>
      <c r="P37" s="129">
        <f>Q37+R37+S37</f>
        <v>15250000</v>
      </c>
      <c r="Q37" s="129">
        <f>N37*O37*1.5</f>
        <v>0</v>
      </c>
      <c r="R37" s="129">
        <f>8250000+7000000</f>
        <v>15250000</v>
      </c>
      <c r="S37" s="137">
        <v>0</v>
      </c>
      <c r="T37" s="255" t="s">
        <v>1512</v>
      </c>
      <c r="U37" s="240">
        <v>42646</v>
      </c>
    </row>
    <row r="38" spans="1:21" s="279" customFormat="1" ht="27" customHeight="1">
      <c r="A38" s="274">
        <f>IF(B38&lt;&gt;"",SUBTOTAL(103,$D$7:$D38),"")</f>
        <v>17</v>
      </c>
      <c r="B38" s="274">
        <f>IF(C38&lt;&gt;"",SUBTOTAL(103,$C$30:$C38),"")</f>
        <v>7</v>
      </c>
      <c r="C38" s="221" t="s">
        <v>478</v>
      </c>
      <c r="D38" s="47" t="s">
        <v>479</v>
      </c>
      <c r="E38" s="42" t="s">
        <v>664</v>
      </c>
      <c r="F38" s="42" t="s">
        <v>65</v>
      </c>
      <c r="G38" s="42" t="s">
        <v>341</v>
      </c>
      <c r="H38" s="42" t="s">
        <v>387</v>
      </c>
      <c r="I38" s="42" t="s">
        <v>1046</v>
      </c>
      <c r="J38" s="45">
        <v>41944</v>
      </c>
      <c r="K38" s="127">
        <v>14</v>
      </c>
      <c r="L38" s="45">
        <v>42370</v>
      </c>
      <c r="M38" s="45">
        <v>42705</v>
      </c>
      <c r="N38" s="128">
        <f aca="true" t="shared" si="0" ref="N38:N46">DATEDIF(L38,M38,"m")+1</f>
        <v>12</v>
      </c>
      <c r="O38" s="217"/>
      <c r="P38" s="129">
        <f>Q38+R38+S38</f>
        <v>21420000</v>
      </c>
      <c r="Q38" s="129">
        <f>SUM(Q39:Q40)</f>
        <v>21420000</v>
      </c>
      <c r="R38" s="129">
        <v>0</v>
      </c>
      <c r="S38" s="137">
        <v>0</v>
      </c>
      <c r="T38" s="258" t="s">
        <v>1962</v>
      </c>
      <c r="U38" s="240">
        <v>42663</v>
      </c>
    </row>
    <row r="39" spans="1:21" s="279" customFormat="1" ht="27" customHeight="1" hidden="1" outlineLevel="1">
      <c r="A39" s="274">
        <f>IF(B39&lt;&gt;"",SUBTOTAL(103,$D$7:$D39),"")</f>
      </c>
      <c r="B39" s="274">
        <f>IF(C39&lt;&gt;"",SUBTOTAL(103,$C$30:$C39),"")</f>
      </c>
      <c r="C39" s="221"/>
      <c r="D39" s="47"/>
      <c r="E39" s="42"/>
      <c r="F39" s="42"/>
      <c r="G39" s="42"/>
      <c r="H39" s="42"/>
      <c r="I39" s="42"/>
      <c r="J39" s="45"/>
      <c r="K39" s="127"/>
      <c r="L39" s="45">
        <v>42370</v>
      </c>
      <c r="M39" s="45">
        <v>42461</v>
      </c>
      <c r="N39" s="128">
        <f t="shared" si="0"/>
        <v>4</v>
      </c>
      <c r="O39" s="129">
        <v>1150000</v>
      </c>
      <c r="P39" s="129"/>
      <c r="Q39" s="129">
        <f>N39*O39*1.5</f>
        <v>6900000</v>
      </c>
      <c r="R39" s="129"/>
      <c r="S39" s="137"/>
      <c r="T39" s="258"/>
      <c r="U39" s="222"/>
    </row>
    <row r="40" spans="1:21" s="279" customFormat="1" ht="27" customHeight="1" hidden="1" outlineLevel="1">
      <c r="A40" s="274">
        <f>IF(B40&lt;&gt;"",SUBTOTAL(103,$D$7:$D40),"")</f>
      </c>
      <c r="B40" s="274">
        <f>IF(C40&lt;&gt;"",SUBTOTAL(103,$C$30:$C40),"")</f>
      </c>
      <c r="C40" s="221"/>
      <c r="D40" s="47"/>
      <c r="E40" s="42"/>
      <c r="F40" s="42"/>
      <c r="G40" s="42"/>
      <c r="H40" s="42"/>
      <c r="I40" s="42"/>
      <c r="J40" s="45"/>
      <c r="K40" s="127"/>
      <c r="L40" s="45">
        <v>42491</v>
      </c>
      <c r="M40" s="45">
        <v>42705</v>
      </c>
      <c r="N40" s="128">
        <f t="shared" si="0"/>
        <v>8</v>
      </c>
      <c r="O40" s="129">
        <v>1210000</v>
      </c>
      <c r="P40" s="129"/>
      <c r="Q40" s="129">
        <f>N40*O40*1.5</f>
        <v>14520000</v>
      </c>
      <c r="R40" s="129"/>
      <c r="S40" s="137"/>
      <c r="T40" s="258"/>
      <c r="U40" s="222"/>
    </row>
    <row r="41" spans="1:21" s="279" customFormat="1" ht="27" customHeight="1" collapsed="1">
      <c r="A41" s="274">
        <f>IF(B41&lt;&gt;"",SUBTOTAL(103,$D$7:$D41),"")</f>
        <v>18</v>
      </c>
      <c r="B41" s="274">
        <f>IF(C41&lt;&gt;"",SUBTOTAL(103,$C$30:$C41),"")</f>
        <v>8</v>
      </c>
      <c r="C41" s="221" t="s">
        <v>66</v>
      </c>
      <c r="D41" s="47" t="s">
        <v>67</v>
      </c>
      <c r="E41" s="42" t="s">
        <v>68</v>
      </c>
      <c r="F41" s="42" t="s">
        <v>69</v>
      </c>
      <c r="G41" s="42" t="s">
        <v>346</v>
      </c>
      <c r="H41" s="42" t="s">
        <v>387</v>
      </c>
      <c r="I41" s="42" t="s">
        <v>44</v>
      </c>
      <c r="J41" s="45">
        <v>41913</v>
      </c>
      <c r="K41" s="127">
        <v>15</v>
      </c>
      <c r="L41" s="45">
        <v>42370</v>
      </c>
      <c r="M41" s="45">
        <v>42491</v>
      </c>
      <c r="N41" s="128">
        <f t="shared" si="0"/>
        <v>5</v>
      </c>
      <c r="O41" s="129"/>
      <c r="P41" s="129">
        <f>Q41+R41+S41</f>
        <v>8715000</v>
      </c>
      <c r="Q41" s="129">
        <f>SUM(Q42:Q43)</f>
        <v>8715000</v>
      </c>
      <c r="R41" s="129">
        <v>0</v>
      </c>
      <c r="S41" s="137">
        <v>0</v>
      </c>
      <c r="T41" s="258" t="s">
        <v>1962</v>
      </c>
      <c r="U41" s="240">
        <v>42663</v>
      </c>
    </row>
    <row r="42" spans="1:21" s="279" customFormat="1" ht="27" customHeight="1" hidden="1" outlineLevel="1">
      <c r="A42" s="274">
        <f>IF(B42&lt;&gt;"",SUBTOTAL(103,$D$7:$D42),"")</f>
      </c>
      <c r="B42" s="274">
        <f>IF(C42&lt;&gt;"",SUBTOTAL(103,$C$30:$C42),"")</f>
      </c>
      <c r="C42" s="221"/>
      <c r="D42" s="47"/>
      <c r="E42" s="42"/>
      <c r="F42" s="42"/>
      <c r="G42" s="42"/>
      <c r="H42" s="42"/>
      <c r="I42" s="42"/>
      <c r="J42" s="45"/>
      <c r="K42" s="127"/>
      <c r="L42" s="45">
        <v>42370</v>
      </c>
      <c r="M42" s="45">
        <v>42461</v>
      </c>
      <c r="N42" s="128">
        <f t="shared" si="0"/>
        <v>4</v>
      </c>
      <c r="O42" s="129">
        <v>1150000</v>
      </c>
      <c r="P42" s="129"/>
      <c r="Q42" s="129">
        <f>N42*O42*1.5</f>
        <v>6900000</v>
      </c>
      <c r="R42" s="129"/>
      <c r="S42" s="137"/>
      <c r="T42" s="258"/>
      <c r="U42" s="222"/>
    </row>
    <row r="43" spans="1:21" s="279" customFormat="1" ht="27" customHeight="1" hidden="1" outlineLevel="1">
      <c r="A43" s="274">
        <f>IF(B43&lt;&gt;"",SUBTOTAL(103,$D$7:$D43),"")</f>
      </c>
      <c r="B43" s="274">
        <f>IF(C43&lt;&gt;"",SUBTOTAL(103,$C$30:$C43),"")</f>
      </c>
      <c r="C43" s="221"/>
      <c r="D43" s="47"/>
      <c r="E43" s="42"/>
      <c r="F43" s="42"/>
      <c r="G43" s="42"/>
      <c r="H43" s="42"/>
      <c r="I43" s="42"/>
      <c r="J43" s="45"/>
      <c r="K43" s="127"/>
      <c r="L43" s="45">
        <v>42491</v>
      </c>
      <c r="M43" s="45">
        <v>42491</v>
      </c>
      <c r="N43" s="128">
        <f t="shared" si="0"/>
        <v>1</v>
      </c>
      <c r="O43" s="129">
        <v>1210000</v>
      </c>
      <c r="P43" s="129"/>
      <c r="Q43" s="129">
        <f>N43*O43*1.5</f>
        <v>1815000</v>
      </c>
      <c r="R43" s="129"/>
      <c r="S43" s="137"/>
      <c r="T43" s="258"/>
      <c r="U43" s="222"/>
    </row>
    <row r="44" spans="1:21" s="279" customFormat="1" ht="27" customHeight="1" collapsed="1">
      <c r="A44" s="274">
        <f>IF(B44&lt;&gt;"",SUBTOTAL(103,$D$7:$D44),"")</f>
        <v>19</v>
      </c>
      <c r="B44" s="274">
        <f>IF(C44&lt;&gt;"",SUBTOTAL(103,$C$30:$C44),"")</f>
        <v>9</v>
      </c>
      <c r="C44" s="221" t="s">
        <v>1092</v>
      </c>
      <c r="D44" s="47" t="s">
        <v>1015</v>
      </c>
      <c r="E44" s="42" t="s">
        <v>1093</v>
      </c>
      <c r="F44" s="42" t="s">
        <v>1094</v>
      </c>
      <c r="G44" s="42" t="s">
        <v>346</v>
      </c>
      <c r="H44" s="42" t="s">
        <v>477</v>
      </c>
      <c r="I44" s="42" t="s">
        <v>665</v>
      </c>
      <c r="J44" s="45">
        <v>41913</v>
      </c>
      <c r="K44" s="128">
        <v>15</v>
      </c>
      <c r="L44" s="45">
        <v>42370</v>
      </c>
      <c r="M44" s="45">
        <v>42491</v>
      </c>
      <c r="N44" s="128">
        <f t="shared" si="0"/>
        <v>5</v>
      </c>
      <c r="O44" s="129"/>
      <c r="P44" s="129">
        <f>Q44+R44+S44</f>
        <v>8715000</v>
      </c>
      <c r="Q44" s="129">
        <f>SUM(Q45:Q46)</f>
        <v>8715000</v>
      </c>
      <c r="R44" s="129">
        <v>0</v>
      </c>
      <c r="S44" s="137">
        <v>0</v>
      </c>
      <c r="T44" s="258" t="s">
        <v>1962</v>
      </c>
      <c r="U44" s="240">
        <v>42663</v>
      </c>
    </row>
    <row r="45" spans="1:21" s="279" customFormat="1" ht="12.75" hidden="1" outlineLevel="1">
      <c r="A45" s="274">
        <f>IF(B45&lt;&gt;"",SUBTOTAL(103,$D$7:$D45),"")</f>
      </c>
      <c r="B45" s="274">
        <f>IF(C45&lt;&gt;"",SUBTOTAL(103,$C$30:$C45),"")</f>
      </c>
      <c r="C45" s="221"/>
      <c r="D45" s="47"/>
      <c r="E45" s="42"/>
      <c r="F45" s="42"/>
      <c r="G45" s="42"/>
      <c r="H45" s="42"/>
      <c r="I45" s="42"/>
      <c r="J45" s="45"/>
      <c r="K45" s="127"/>
      <c r="L45" s="45">
        <v>42370</v>
      </c>
      <c r="M45" s="45">
        <v>42461</v>
      </c>
      <c r="N45" s="128">
        <f t="shared" si="0"/>
        <v>4</v>
      </c>
      <c r="O45" s="129">
        <v>1150000</v>
      </c>
      <c r="P45" s="129">
        <f>Q45+R45+S45</f>
        <v>6900000</v>
      </c>
      <c r="Q45" s="129">
        <f>N45*O45*1.5</f>
        <v>6900000</v>
      </c>
      <c r="R45" s="129"/>
      <c r="S45" s="137"/>
      <c r="T45" s="258"/>
      <c r="U45" s="222"/>
    </row>
    <row r="46" spans="1:21" s="279" customFormat="1" ht="12.75" hidden="1" outlineLevel="1">
      <c r="A46" s="274">
        <f>IF(B46&lt;&gt;"",SUBTOTAL(103,$D$7:$D46),"")</f>
      </c>
      <c r="B46" s="274">
        <f>IF(C46&lt;&gt;"",SUBTOTAL(103,$C$30:$C46),"")</f>
      </c>
      <c r="C46" s="221"/>
      <c r="D46" s="47"/>
      <c r="E46" s="42"/>
      <c r="F46" s="42"/>
      <c r="G46" s="42"/>
      <c r="H46" s="42"/>
      <c r="I46" s="42"/>
      <c r="J46" s="45"/>
      <c r="K46" s="127"/>
      <c r="L46" s="45">
        <v>42491</v>
      </c>
      <c r="M46" s="45">
        <v>42491</v>
      </c>
      <c r="N46" s="128">
        <f t="shared" si="0"/>
        <v>1</v>
      </c>
      <c r="O46" s="129">
        <v>1210000</v>
      </c>
      <c r="P46" s="129">
        <f>Q46+R46+S46</f>
        <v>1815000</v>
      </c>
      <c r="Q46" s="129">
        <f>N46*O46*1.5</f>
        <v>1815000</v>
      </c>
      <c r="R46" s="129"/>
      <c r="S46" s="137"/>
      <c r="T46" s="258"/>
      <c r="U46" s="222"/>
    </row>
    <row r="47" spans="1:21" s="279" customFormat="1" ht="27" customHeight="1" collapsed="1">
      <c r="A47" s="274">
        <f>IF(B47&lt;&gt;"",SUBTOTAL(103,$D$7:$D47),"")</f>
        <v>20</v>
      </c>
      <c r="B47" s="274">
        <f>IF(C47&lt;&gt;"",SUBTOTAL(103,$C$30:$C47),"")</f>
        <v>10</v>
      </c>
      <c r="C47" s="221" t="s">
        <v>304</v>
      </c>
      <c r="D47" s="47" t="s">
        <v>305</v>
      </c>
      <c r="E47" s="42" t="s">
        <v>719</v>
      </c>
      <c r="F47" s="42" t="s">
        <v>306</v>
      </c>
      <c r="G47" s="42" t="s">
        <v>346</v>
      </c>
      <c r="H47" s="42" t="s">
        <v>477</v>
      </c>
      <c r="I47" s="42" t="s">
        <v>665</v>
      </c>
      <c r="J47" s="45">
        <v>41030</v>
      </c>
      <c r="K47" s="128"/>
      <c r="L47" s="45"/>
      <c r="M47" s="45"/>
      <c r="N47" s="128">
        <v>17</v>
      </c>
      <c r="O47" s="129"/>
      <c r="P47" s="129">
        <f>Q47+R47+S47</f>
        <v>27525000</v>
      </c>
      <c r="Q47" s="129">
        <v>27525000</v>
      </c>
      <c r="R47" s="129">
        <v>0</v>
      </c>
      <c r="S47" s="137">
        <v>0</v>
      </c>
      <c r="T47" s="307" t="s">
        <v>2172</v>
      </c>
      <c r="U47" s="240">
        <v>42669</v>
      </c>
    </row>
    <row r="48" spans="1:21" s="273" customFormat="1" ht="27" customHeight="1">
      <c r="A48" s="274">
        <f>IF(B48&lt;&gt;"",SUBTOTAL(103,$D$7:$D48),"")</f>
      </c>
      <c r="B48" s="209"/>
      <c r="C48" s="210" t="s">
        <v>480</v>
      </c>
      <c r="D48" s="211"/>
      <c r="E48" s="114"/>
      <c r="F48" s="114"/>
      <c r="G48" s="114"/>
      <c r="H48" s="114"/>
      <c r="I48" s="114"/>
      <c r="J48" s="136"/>
      <c r="K48" s="116"/>
      <c r="L48" s="117"/>
      <c r="M48" s="117"/>
      <c r="N48" s="118"/>
      <c r="O48" s="119"/>
      <c r="P48" s="120">
        <f>SUBTOTAL(109,P49:P54)</f>
        <v>107065000</v>
      </c>
      <c r="Q48" s="120">
        <f>SUBTOTAL(109,Q49:Q54)</f>
        <v>15615000</v>
      </c>
      <c r="R48" s="120">
        <f>SUBTOTAL(109,R49:R54)</f>
        <v>56950000</v>
      </c>
      <c r="S48" s="120">
        <f>SUBTOTAL(109,S49:S54)</f>
        <v>34500000</v>
      </c>
      <c r="T48" s="254"/>
      <c r="U48" s="212"/>
    </row>
    <row r="49" spans="1:21" s="204" customFormat="1" ht="27" customHeight="1" collapsed="1">
      <c r="A49" s="274">
        <f>IF(B49&lt;&gt;"",SUBTOTAL(103,$D$7:$D49),"")</f>
        <v>21</v>
      </c>
      <c r="B49" s="274">
        <f>IF(C49&lt;&gt;"",SUBTOTAL(103,$C$49:$C49),"")</f>
        <v>1</v>
      </c>
      <c r="C49" s="245" t="s">
        <v>481</v>
      </c>
      <c r="D49" s="275" t="s">
        <v>649</v>
      </c>
      <c r="E49" s="43" t="s">
        <v>650</v>
      </c>
      <c r="F49" s="43" t="s">
        <v>651</v>
      </c>
      <c r="G49" s="43" t="s">
        <v>341</v>
      </c>
      <c r="H49" s="43" t="s">
        <v>45</v>
      </c>
      <c r="I49" s="43" t="s">
        <v>44</v>
      </c>
      <c r="J49" s="45">
        <v>40179</v>
      </c>
      <c r="K49" s="56">
        <v>30</v>
      </c>
      <c r="L49" s="364"/>
      <c r="M49" s="364"/>
      <c r="N49" s="101">
        <v>0</v>
      </c>
      <c r="O49" s="129">
        <v>1150000</v>
      </c>
      <c r="P49" s="129">
        <f>SUM(Q49:S49)</f>
        <v>34400000</v>
      </c>
      <c r="Q49" s="129">
        <f>N49*1050000</f>
        <v>0</v>
      </c>
      <c r="R49" s="129">
        <f>21000000+12525000+875000</f>
        <v>34400000</v>
      </c>
      <c r="S49" s="129">
        <v>0</v>
      </c>
      <c r="T49" s="256" t="s">
        <v>1989</v>
      </c>
      <c r="U49" s="242"/>
    </row>
    <row r="50" spans="1:21" s="204" customFormat="1" ht="27" customHeight="1">
      <c r="A50" s="274">
        <f>IF(B50&lt;&gt;"",SUBTOTAL(103,$D$7:$D50),"")</f>
        <v>22</v>
      </c>
      <c r="B50" s="220">
        <f>IF(C50&lt;&gt;"",SUBTOTAL(103,$C$49:$C50),"")</f>
        <v>2</v>
      </c>
      <c r="C50" s="221" t="s">
        <v>668</v>
      </c>
      <c r="D50" s="47" t="s">
        <v>2166</v>
      </c>
      <c r="E50" s="42" t="s">
        <v>669</v>
      </c>
      <c r="F50" s="42" t="s">
        <v>670</v>
      </c>
      <c r="G50" s="42" t="s">
        <v>341</v>
      </c>
      <c r="H50" s="42" t="s">
        <v>771</v>
      </c>
      <c r="I50" s="42" t="s">
        <v>660</v>
      </c>
      <c r="J50" s="45">
        <v>40909</v>
      </c>
      <c r="K50" s="128">
        <v>30</v>
      </c>
      <c r="L50" s="362"/>
      <c r="M50" s="363"/>
      <c r="N50" s="101">
        <v>0</v>
      </c>
      <c r="O50" s="137">
        <v>1150000</v>
      </c>
      <c r="P50" s="129">
        <f>R50+Q50+S50</f>
        <v>17125000</v>
      </c>
      <c r="Q50" s="217">
        <v>0</v>
      </c>
      <c r="R50" s="129">
        <v>17125000</v>
      </c>
      <c r="S50" s="129">
        <v>0</v>
      </c>
      <c r="T50" s="255" t="s">
        <v>1302</v>
      </c>
      <c r="U50" s="222"/>
    </row>
    <row r="51" spans="1:21" s="204" customFormat="1" ht="27" customHeight="1">
      <c r="A51" s="274">
        <f>IF(B51&lt;&gt;"",SUBTOTAL(103,$D$7:$D51),"")</f>
        <v>23</v>
      </c>
      <c r="B51" s="274">
        <f>IF(C51&lt;&gt;"",SUBTOTAL(103,$C$49:$C51),"")</f>
        <v>3</v>
      </c>
      <c r="C51" s="245" t="s">
        <v>935</v>
      </c>
      <c r="D51" s="275" t="s">
        <v>936</v>
      </c>
      <c r="E51" s="43" t="s">
        <v>1167</v>
      </c>
      <c r="F51" s="43" t="s">
        <v>937</v>
      </c>
      <c r="G51" s="43" t="s">
        <v>346</v>
      </c>
      <c r="H51" s="43" t="s">
        <v>194</v>
      </c>
      <c r="I51" s="43" t="s">
        <v>164</v>
      </c>
      <c r="J51" s="45">
        <v>41913</v>
      </c>
      <c r="K51" s="128">
        <v>15</v>
      </c>
      <c r="L51" s="45">
        <v>42370</v>
      </c>
      <c r="M51" s="45">
        <v>42491</v>
      </c>
      <c r="N51" s="128">
        <f>DATEDIF(L51,M51,"m")+1</f>
        <v>5</v>
      </c>
      <c r="O51" s="129">
        <v>1150000</v>
      </c>
      <c r="P51" s="129">
        <f>Q51+R51+S51</f>
        <v>48640000</v>
      </c>
      <c r="Q51" s="129">
        <f>SUM(Q52,Q53)</f>
        <v>8715000</v>
      </c>
      <c r="R51" s="129">
        <f>5425000</f>
        <v>5425000</v>
      </c>
      <c r="S51" s="129">
        <f>30*O51</f>
        <v>34500000</v>
      </c>
      <c r="T51" s="256" t="s">
        <v>1990</v>
      </c>
      <c r="U51" s="242"/>
    </row>
    <row r="52" spans="1:21" s="204" customFormat="1" ht="27" customHeight="1" hidden="1" outlineLevel="1">
      <c r="A52" s="274">
        <f>IF(B52&lt;&gt;"",SUBTOTAL(103,$D$7:$D52),"")</f>
      </c>
      <c r="B52" s="280">
        <f>IF(C52&lt;&gt;"",SUBTOTAL(103,$C$49:$C52),"")</f>
      </c>
      <c r="C52" s="245"/>
      <c r="D52" s="275"/>
      <c r="E52" s="43"/>
      <c r="F52" s="43"/>
      <c r="G52" s="43"/>
      <c r="H52" s="43"/>
      <c r="I52" s="43"/>
      <c r="J52" s="45"/>
      <c r="K52" s="128"/>
      <c r="L52" s="45">
        <v>42370</v>
      </c>
      <c r="M52" s="45">
        <v>42461</v>
      </c>
      <c r="N52" s="281">
        <f>DATEDIF(L52,M52,"m")+1</f>
        <v>4</v>
      </c>
      <c r="O52" s="129">
        <v>1150000</v>
      </c>
      <c r="P52" s="129"/>
      <c r="Q52" s="129">
        <f>N52*O52*1.5</f>
        <v>6900000</v>
      </c>
      <c r="R52" s="129"/>
      <c r="S52" s="129"/>
      <c r="T52" s="256"/>
      <c r="U52" s="242"/>
    </row>
    <row r="53" spans="1:21" s="204" customFormat="1" ht="27" customHeight="1" hidden="1" outlineLevel="1">
      <c r="A53" s="274">
        <f>IF(B53&lt;&gt;"",SUBTOTAL(103,$D$7:$D53),"")</f>
      </c>
      <c r="B53" s="280">
        <f>IF(C53&lt;&gt;"",SUBTOTAL(103,$C$49:$C53),"")</f>
      </c>
      <c r="C53" s="245"/>
      <c r="D53" s="275"/>
      <c r="E53" s="43"/>
      <c r="F53" s="43"/>
      <c r="G53" s="43"/>
      <c r="H53" s="43"/>
      <c r="I53" s="43"/>
      <c r="J53" s="45"/>
      <c r="K53" s="128"/>
      <c r="L53" s="45">
        <v>42491</v>
      </c>
      <c r="M53" s="45">
        <v>42521</v>
      </c>
      <c r="N53" s="281">
        <f>DATEDIF(L53,M53,"m")+1</f>
        <v>1</v>
      </c>
      <c r="O53" s="129">
        <v>1210000</v>
      </c>
      <c r="P53" s="129"/>
      <c r="Q53" s="129">
        <f>N53*O53*1.5</f>
        <v>1815000</v>
      </c>
      <c r="R53" s="129"/>
      <c r="S53" s="129"/>
      <c r="T53" s="256"/>
      <c r="U53" s="242"/>
    </row>
    <row r="54" spans="1:21" s="276" customFormat="1" ht="27" customHeight="1" collapsed="1">
      <c r="A54" s="274">
        <f>IF(B54&lt;&gt;"",SUBTOTAL(103,$D$7:$D54),"")</f>
        <v>24</v>
      </c>
      <c r="B54" s="274">
        <f>IF(C54&lt;&gt;"",SUBTOTAL(103,$C$49:$C54),"")</f>
        <v>4</v>
      </c>
      <c r="C54" s="245" t="s">
        <v>262</v>
      </c>
      <c r="D54" s="275" t="s">
        <v>263</v>
      </c>
      <c r="E54" s="43" t="s">
        <v>2142</v>
      </c>
      <c r="F54" s="43" t="s">
        <v>264</v>
      </c>
      <c r="G54" s="43" t="s">
        <v>341</v>
      </c>
      <c r="H54" s="43" t="s">
        <v>214</v>
      </c>
      <c r="I54" s="43" t="s">
        <v>683</v>
      </c>
      <c r="J54" s="45">
        <v>41244</v>
      </c>
      <c r="K54" s="128">
        <v>26</v>
      </c>
      <c r="L54" s="45">
        <v>42370</v>
      </c>
      <c r="M54" s="45">
        <v>42461</v>
      </c>
      <c r="N54" s="128">
        <f>DATEDIF(L54,M54,"m")+1</f>
        <v>4</v>
      </c>
      <c r="O54" s="129">
        <v>1150000</v>
      </c>
      <c r="P54" s="129">
        <f>Q54+R54+S54</f>
        <v>6900000</v>
      </c>
      <c r="Q54" s="129">
        <f>N54*O54*1.5</f>
        <v>6900000</v>
      </c>
      <c r="R54" s="129">
        <v>0</v>
      </c>
      <c r="S54" s="129">
        <v>0</v>
      </c>
      <c r="T54" s="259" t="s">
        <v>1964</v>
      </c>
      <c r="U54" s="241">
        <v>42667</v>
      </c>
    </row>
    <row r="55" spans="1:21" s="273" customFormat="1" ht="27" customHeight="1">
      <c r="A55" s="274">
        <f>IF(B55&lt;&gt;"",SUBTOTAL(103,$D$7:$D55),"")</f>
      </c>
      <c r="B55" s="209"/>
      <c r="C55" s="210" t="s">
        <v>1154</v>
      </c>
      <c r="D55" s="211"/>
      <c r="E55" s="114"/>
      <c r="F55" s="114"/>
      <c r="G55" s="114"/>
      <c r="H55" s="114"/>
      <c r="I55" s="114"/>
      <c r="J55" s="136"/>
      <c r="K55" s="116"/>
      <c r="L55" s="117"/>
      <c r="M55" s="117"/>
      <c r="N55" s="118"/>
      <c r="O55" s="119"/>
      <c r="P55" s="120">
        <f>SUBTOTAL(109,P56:P68)</f>
        <v>194542000</v>
      </c>
      <c r="Q55" s="120">
        <f>SUBTOTAL(109,Q56:Q68)</f>
        <v>43575000</v>
      </c>
      <c r="R55" s="120">
        <f>SUBTOTAL(109,R56:R68)</f>
        <v>81967000</v>
      </c>
      <c r="S55" s="120">
        <f>SUBTOTAL(109,S56:S68)</f>
        <v>69000000</v>
      </c>
      <c r="T55" s="254"/>
      <c r="U55" s="212"/>
    </row>
    <row r="56" spans="1:21" s="204" customFormat="1" ht="27" customHeight="1">
      <c r="A56" s="274">
        <f>IF(B56&lt;&gt;"",SUBTOTAL(103,$D$7:$D56),"")</f>
        <v>25</v>
      </c>
      <c r="B56" s="220">
        <f>IF(C56&lt;&gt;"",SUBTOTAL(103,$C$56:$C56),"")</f>
        <v>1</v>
      </c>
      <c r="C56" s="221" t="s">
        <v>227</v>
      </c>
      <c r="D56" s="47" t="s">
        <v>228</v>
      </c>
      <c r="E56" s="42" t="s">
        <v>1087</v>
      </c>
      <c r="F56" s="42" t="s">
        <v>229</v>
      </c>
      <c r="G56" s="42" t="s">
        <v>346</v>
      </c>
      <c r="H56" s="42" t="s">
        <v>230</v>
      </c>
      <c r="I56" s="42" t="s">
        <v>254</v>
      </c>
      <c r="J56" s="45">
        <v>41913</v>
      </c>
      <c r="K56" s="128">
        <v>15</v>
      </c>
      <c r="L56" s="45">
        <v>42370</v>
      </c>
      <c r="M56" s="45">
        <v>42491</v>
      </c>
      <c r="N56" s="128">
        <f>DATEDIF(L56,M56,"m")+1</f>
        <v>5</v>
      </c>
      <c r="O56" s="129">
        <v>1150000</v>
      </c>
      <c r="P56" s="129">
        <f>Q56+R56+S56</f>
        <v>61153000</v>
      </c>
      <c r="Q56" s="129">
        <f>SUM(Q57:Q58)</f>
        <v>8715000</v>
      </c>
      <c r="R56" s="129">
        <f>4938000+4000000+9000000</f>
        <v>17938000</v>
      </c>
      <c r="S56" s="129">
        <f>30*O56</f>
        <v>34500000</v>
      </c>
      <c r="T56" s="260" t="s">
        <v>1991</v>
      </c>
      <c r="U56" s="240">
        <v>42640</v>
      </c>
    </row>
    <row r="57" spans="1:21" s="204" customFormat="1" ht="27" customHeight="1" hidden="1" outlineLevel="1">
      <c r="A57" s="274">
        <f>IF(B57&lt;&gt;"",SUBTOTAL(103,$D$7:$D57),"")</f>
      </c>
      <c r="B57" s="220">
        <f>IF(C57&lt;&gt;"",SUBTOTAL(103,$C$56:$C57),"")</f>
      </c>
      <c r="C57" s="221"/>
      <c r="D57" s="47"/>
      <c r="E57" s="42"/>
      <c r="F57" s="42"/>
      <c r="G57" s="42"/>
      <c r="H57" s="42"/>
      <c r="I57" s="42"/>
      <c r="J57" s="45"/>
      <c r="K57" s="128"/>
      <c r="L57" s="45">
        <v>42370</v>
      </c>
      <c r="M57" s="45">
        <v>42461</v>
      </c>
      <c r="N57" s="128">
        <f>DATEDIF(L57,M57,"m")+1</f>
        <v>4</v>
      </c>
      <c r="O57" s="129">
        <v>1150000</v>
      </c>
      <c r="P57" s="129"/>
      <c r="Q57" s="129">
        <f>O57*N57*1.5</f>
        <v>6900000</v>
      </c>
      <c r="R57" s="129"/>
      <c r="S57" s="129"/>
      <c r="T57" s="260"/>
      <c r="U57" s="222"/>
    </row>
    <row r="58" spans="1:21" s="204" customFormat="1" ht="27" customHeight="1" hidden="1" outlineLevel="1">
      <c r="A58" s="274">
        <f>IF(B58&lt;&gt;"",SUBTOTAL(103,$D$7:$D58),"")</f>
      </c>
      <c r="B58" s="220">
        <f>IF(C58&lt;&gt;"",SUBTOTAL(103,$C$56:$C58),"")</f>
      </c>
      <c r="C58" s="221"/>
      <c r="D58" s="47"/>
      <c r="E58" s="42"/>
      <c r="F58" s="42"/>
      <c r="G58" s="42"/>
      <c r="H58" s="42"/>
      <c r="I58" s="42"/>
      <c r="J58" s="45"/>
      <c r="K58" s="128"/>
      <c r="L58" s="45">
        <v>42491</v>
      </c>
      <c r="M58" s="45">
        <v>42520</v>
      </c>
      <c r="N58" s="128">
        <f>DATEDIF(L58,M58,"m")+1</f>
        <v>1</v>
      </c>
      <c r="O58" s="129">
        <v>1210000</v>
      </c>
      <c r="P58" s="129"/>
      <c r="Q58" s="129">
        <f>O58*N58*1.5</f>
        <v>1815000</v>
      </c>
      <c r="R58" s="129"/>
      <c r="S58" s="129"/>
      <c r="T58" s="260"/>
      <c r="U58" s="222"/>
    </row>
    <row r="59" spans="1:21" s="204" customFormat="1" ht="27" customHeight="1" collapsed="1">
      <c r="A59" s="274">
        <f>IF(B59&lt;&gt;"",SUBTOTAL(103,$D$7:$D59),"")</f>
        <v>26</v>
      </c>
      <c r="B59" s="220">
        <f>IF(C59&lt;&gt;"",SUBTOTAL(103,$C$56:$C59),"")</f>
        <v>2</v>
      </c>
      <c r="C59" s="221" t="s">
        <v>938</v>
      </c>
      <c r="D59" s="47" t="s">
        <v>939</v>
      </c>
      <c r="E59" s="42" t="s">
        <v>1048</v>
      </c>
      <c r="F59" s="42" t="s">
        <v>940</v>
      </c>
      <c r="G59" s="42" t="s">
        <v>346</v>
      </c>
      <c r="H59" s="42" t="s">
        <v>28</v>
      </c>
      <c r="I59" s="42" t="s">
        <v>254</v>
      </c>
      <c r="J59" s="45">
        <v>41913</v>
      </c>
      <c r="K59" s="128">
        <v>15</v>
      </c>
      <c r="L59" s="45">
        <v>42370</v>
      </c>
      <c r="M59" s="45">
        <v>42491</v>
      </c>
      <c r="N59" s="128">
        <v>5</v>
      </c>
      <c r="O59" s="129">
        <v>1150000</v>
      </c>
      <c r="P59" s="129">
        <f>Q59+R59+S59</f>
        <v>25849000</v>
      </c>
      <c r="Q59" s="129">
        <f>SUM(Q60:Q61)</f>
        <v>8715000</v>
      </c>
      <c r="R59" s="129">
        <f>4045000+3556000+5488000+4045000</f>
        <v>17134000</v>
      </c>
      <c r="S59" s="129">
        <v>0</v>
      </c>
      <c r="T59" s="260" t="s">
        <v>1411</v>
      </c>
      <c r="U59" s="240">
        <v>42640</v>
      </c>
    </row>
    <row r="60" spans="1:21" s="204" customFormat="1" ht="27" customHeight="1" hidden="1" outlineLevel="1">
      <c r="A60" s="274">
        <f>IF(B60&lt;&gt;"",SUBTOTAL(103,$D$7:$D60),"")</f>
      </c>
      <c r="B60" s="220">
        <f>IF(C60&lt;&gt;"",SUBTOTAL(103,$C$56:$C60),"")</f>
      </c>
      <c r="C60" s="221"/>
      <c r="D60" s="47"/>
      <c r="E60" s="42"/>
      <c r="F60" s="42"/>
      <c r="G60" s="42"/>
      <c r="H60" s="42"/>
      <c r="I60" s="42"/>
      <c r="J60" s="45"/>
      <c r="K60" s="128"/>
      <c r="L60" s="45">
        <v>42370</v>
      </c>
      <c r="M60" s="45">
        <v>42461</v>
      </c>
      <c r="N60" s="128">
        <f>DATEDIF(L60,M60,"m")+1</f>
        <v>4</v>
      </c>
      <c r="O60" s="129">
        <v>1150000</v>
      </c>
      <c r="P60" s="129"/>
      <c r="Q60" s="129">
        <f>O60*N60*1.5</f>
        <v>6900000</v>
      </c>
      <c r="R60" s="129"/>
      <c r="S60" s="129"/>
      <c r="T60" s="260"/>
      <c r="U60" s="222"/>
    </row>
    <row r="61" spans="1:21" s="204" customFormat="1" ht="27" customHeight="1" hidden="1" outlineLevel="1">
      <c r="A61" s="274">
        <f>IF(B61&lt;&gt;"",SUBTOTAL(103,$D$7:$D61),"")</f>
      </c>
      <c r="B61" s="220">
        <f>IF(C61&lt;&gt;"",SUBTOTAL(103,$C$56:$C61),"")</f>
      </c>
      <c r="C61" s="221"/>
      <c r="D61" s="47"/>
      <c r="E61" s="42"/>
      <c r="F61" s="42"/>
      <c r="G61" s="42"/>
      <c r="H61" s="42"/>
      <c r="I61" s="42"/>
      <c r="J61" s="45"/>
      <c r="K61" s="128"/>
      <c r="L61" s="45">
        <v>42491</v>
      </c>
      <c r="M61" s="45">
        <v>42520</v>
      </c>
      <c r="N61" s="128">
        <f>DATEDIF(L61,M61,"m")+1</f>
        <v>1</v>
      </c>
      <c r="O61" s="129">
        <v>1210000</v>
      </c>
      <c r="P61" s="129"/>
      <c r="Q61" s="129">
        <f>O61*N61*1.5</f>
        <v>1815000</v>
      </c>
      <c r="R61" s="129"/>
      <c r="S61" s="129"/>
      <c r="T61" s="260"/>
      <c r="U61" s="222"/>
    </row>
    <row r="62" spans="1:21" s="204" customFormat="1" ht="27" customHeight="1" collapsed="1">
      <c r="A62" s="274">
        <f>IF(B62&lt;&gt;"",SUBTOTAL(103,$D$7:$D62),"")</f>
        <v>27</v>
      </c>
      <c r="B62" s="220">
        <f>IF(C62&lt;&gt;"",SUBTOTAL(103,$C$56:$C62),"")</f>
        <v>3</v>
      </c>
      <c r="C62" s="221" t="s">
        <v>941</v>
      </c>
      <c r="D62" s="47" t="s">
        <v>942</v>
      </c>
      <c r="E62" s="42" t="s">
        <v>1049</v>
      </c>
      <c r="F62" s="42" t="s">
        <v>943</v>
      </c>
      <c r="G62" s="42" t="s">
        <v>346</v>
      </c>
      <c r="H62" s="42" t="s">
        <v>28</v>
      </c>
      <c r="I62" s="42" t="s">
        <v>254</v>
      </c>
      <c r="J62" s="45">
        <v>41913</v>
      </c>
      <c r="K62" s="128">
        <v>15</v>
      </c>
      <c r="L62" s="45">
        <v>42370</v>
      </c>
      <c r="M62" s="45">
        <v>42491</v>
      </c>
      <c r="N62" s="128">
        <v>5</v>
      </c>
      <c r="O62" s="129"/>
      <c r="P62" s="129">
        <f>Q62+R62+S62</f>
        <v>56513000</v>
      </c>
      <c r="Q62" s="129">
        <f>SUM(Q63:Q64)</f>
        <v>8715000</v>
      </c>
      <c r="R62" s="129">
        <f>7298000+6000000</f>
        <v>13298000</v>
      </c>
      <c r="S62" s="129">
        <f>O63*30</f>
        <v>34500000</v>
      </c>
      <c r="T62" s="260" t="s">
        <v>1992</v>
      </c>
      <c r="U62" s="240">
        <v>42640</v>
      </c>
    </row>
    <row r="63" spans="1:21" s="204" customFormat="1" ht="27" customHeight="1" hidden="1" outlineLevel="1">
      <c r="A63" s="274">
        <f>IF(B63&lt;&gt;"",SUBTOTAL(103,$D$7:$D63),"")</f>
      </c>
      <c r="B63" s="220">
        <f>IF(C63&lt;&gt;"",SUBTOTAL(103,$C$56:$C63),"")</f>
      </c>
      <c r="C63" s="221"/>
      <c r="D63" s="47"/>
      <c r="E63" s="42"/>
      <c r="F63" s="42"/>
      <c r="G63" s="42"/>
      <c r="H63" s="42"/>
      <c r="I63" s="42"/>
      <c r="J63" s="45"/>
      <c r="K63" s="128"/>
      <c r="L63" s="45">
        <v>42370</v>
      </c>
      <c r="M63" s="45">
        <v>42461</v>
      </c>
      <c r="N63" s="128">
        <f>DATEDIF(L63,M63,"m")+1</f>
        <v>4</v>
      </c>
      <c r="O63" s="129">
        <v>1150000</v>
      </c>
      <c r="P63" s="129"/>
      <c r="Q63" s="129">
        <f>O63*N63*1.5</f>
        <v>6900000</v>
      </c>
      <c r="R63" s="129"/>
      <c r="S63" s="129"/>
      <c r="T63" s="260"/>
      <c r="U63" s="222"/>
    </row>
    <row r="64" spans="1:21" s="204" customFormat="1" ht="27" customHeight="1" hidden="1" outlineLevel="1">
      <c r="A64" s="274">
        <f>IF(B64&lt;&gt;"",SUBTOTAL(103,$D$7:$D64),"")</f>
      </c>
      <c r="B64" s="220">
        <f>IF(C64&lt;&gt;"",SUBTOTAL(103,$C$56:$C64),"")</f>
      </c>
      <c r="C64" s="221"/>
      <c r="D64" s="47"/>
      <c r="E64" s="42"/>
      <c r="F64" s="42"/>
      <c r="G64" s="42"/>
      <c r="H64" s="42"/>
      <c r="I64" s="42"/>
      <c r="J64" s="45"/>
      <c r="K64" s="128"/>
      <c r="L64" s="45">
        <v>42491</v>
      </c>
      <c r="M64" s="45">
        <v>42520</v>
      </c>
      <c r="N64" s="128">
        <f>DATEDIF(L64,M64,"m")+1</f>
        <v>1</v>
      </c>
      <c r="O64" s="129">
        <v>1210000</v>
      </c>
      <c r="P64" s="129"/>
      <c r="Q64" s="129">
        <f>O64*N64*1.5</f>
        <v>1815000</v>
      </c>
      <c r="R64" s="129" t="s">
        <v>944</v>
      </c>
      <c r="S64" s="129"/>
      <c r="T64" s="260"/>
      <c r="U64" s="222"/>
    </row>
    <row r="65" spans="1:21" s="204" customFormat="1" ht="27" customHeight="1" collapsed="1">
      <c r="A65" s="274">
        <f>IF(B65&lt;&gt;"",SUBTOTAL(103,$D$7:$D65),"")</f>
        <v>28</v>
      </c>
      <c r="B65" s="220">
        <f>IF(C65&lt;&gt;"",SUBTOTAL(103,$C$56:$C65),"")</f>
        <v>4</v>
      </c>
      <c r="C65" s="221" t="s">
        <v>500</v>
      </c>
      <c r="D65" s="47" t="s">
        <v>501</v>
      </c>
      <c r="E65" s="42" t="s">
        <v>1047</v>
      </c>
      <c r="F65" s="42" t="s">
        <v>502</v>
      </c>
      <c r="G65" s="42" t="s">
        <v>346</v>
      </c>
      <c r="H65" s="42" t="s">
        <v>206</v>
      </c>
      <c r="I65" s="42" t="s">
        <v>12</v>
      </c>
      <c r="J65" s="45">
        <v>41913</v>
      </c>
      <c r="K65" s="128">
        <v>15</v>
      </c>
      <c r="L65" s="45">
        <v>42370</v>
      </c>
      <c r="M65" s="45">
        <v>42491</v>
      </c>
      <c r="N65" s="128">
        <v>5</v>
      </c>
      <c r="O65" s="129"/>
      <c r="P65" s="129">
        <f>Q65+R65+S65</f>
        <v>42312000</v>
      </c>
      <c r="Q65" s="129">
        <f>SUM(Q66:Q67)</f>
        <v>8715000</v>
      </c>
      <c r="R65" s="129">
        <f>1000000+7625000+6000000+9000000+3972000+6000000</f>
        <v>33597000</v>
      </c>
      <c r="S65" s="282"/>
      <c r="T65" s="261" t="s">
        <v>1993</v>
      </c>
      <c r="U65" s="240">
        <v>42640</v>
      </c>
    </row>
    <row r="66" spans="1:21" s="204" customFormat="1" ht="27" customHeight="1" hidden="1" outlineLevel="1">
      <c r="A66" s="274">
        <f>IF(B66&lt;&gt;"",SUBTOTAL(103,$D$7:$D66),"")</f>
      </c>
      <c r="B66" s="220">
        <f>IF(C66&lt;&gt;"",SUBTOTAL(103,$C$56:$C66),"")</f>
      </c>
      <c r="C66" s="221"/>
      <c r="D66" s="47"/>
      <c r="E66" s="42"/>
      <c r="F66" s="42"/>
      <c r="G66" s="42"/>
      <c r="H66" s="42"/>
      <c r="I66" s="42"/>
      <c r="J66" s="45"/>
      <c r="K66" s="128"/>
      <c r="L66" s="45">
        <v>42370</v>
      </c>
      <c r="M66" s="45">
        <v>42461</v>
      </c>
      <c r="N66" s="128">
        <f>DATEDIF(L66,M66,"m")+1</f>
        <v>4</v>
      </c>
      <c r="O66" s="129">
        <v>1150000</v>
      </c>
      <c r="P66" s="129"/>
      <c r="Q66" s="129">
        <f>O66*N66*1.5</f>
        <v>6900000</v>
      </c>
      <c r="R66" s="129"/>
      <c r="S66" s="282"/>
      <c r="T66" s="261"/>
      <c r="U66" s="222"/>
    </row>
    <row r="67" spans="1:21" s="204" customFormat="1" ht="27" customHeight="1" hidden="1" outlineLevel="1">
      <c r="A67" s="274">
        <f>IF(B67&lt;&gt;"",SUBTOTAL(103,$D$7:$D67),"")</f>
      </c>
      <c r="B67" s="220">
        <f>IF(C67&lt;&gt;"",SUBTOTAL(103,$C$56:$C67),"")</f>
      </c>
      <c r="C67" s="221"/>
      <c r="D67" s="47"/>
      <c r="E67" s="42"/>
      <c r="F67" s="42"/>
      <c r="G67" s="42"/>
      <c r="H67" s="42"/>
      <c r="I67" s="42"/>
      <c r="J67" s="45"/>
      <c r="K67" s="128"/>
      <c r="L67" s="45">
        <v>42491</v>
      </c>
      <c r="M67" s="45">
        <v>42520</v>
      </c>
      <c r="N67" s="128">
        <f>DATEDIF(L67,M67,"m")+1</f>
        <v>1</v>
      </c>
      <c r="O67" s="129">
        <v>1210000</v>
      </c>
      <c r="P67" s="129"/>
      <c r="Q67" s="129">
        <f>O67*N67*1.5</f>
        <v>1815000</v>
      </c>
      <c r="R67" s="129"/>
      <c r="S67" s="282"/>
      <c r="T67" s="261"/>
      <c r="U67" s="222"/>
    </row>
    <row r="68" spans="1:21" s="283" customFormat="1" ht="27" customHeight="1" collapsed="1">
      <c r="A68" s="274">
        <f>IF(B68&lt;&gt;"",SUBTOTAL(103,$D$7:$D68),"")</f>
        <v>29</v>
      </c>
      <c r="B68" s="220">
        <f>IF(C68&lt;&gt;"",SUBTOTAL(103,$C$56:$C68),"")</f>
        <v>5</v>
      </c>
      <c r="C68" s="221" t="s">
        <v>684</v>
      </c>
      <c r="D68" s="47" t="s">
        <v>1155</v>
      </c>
      <c r="E68" s="42" t="s">
        <v>1047</v>
      </c>
      <c r="F68" s="42" t="s">
        <v>298</v>
      </c>
      <c r="G68" s="42" t="s">
        <v>341</v>
      </c>
      <c r="H68" s="42" t="s">
        <v>28</v>
      </c>
      <c r="I68" s="42" t="s">
        <v>1156</v>
      </c>
      <c r="J68" s="45">
        <v>41609</v>
      </c>
      <c r="K68" s="128">
        <v>25</v>
      </c>
      <c r="L68" s="45">
        <v>42370</v>
      </c>
      <c r="M68" s="45">
        <v>42491</v>
      </c>
      <c r="N68" s="128">
        <f>DATEDIF(L68,M68,"m")+1</f>
        <v>5</v>
      </c>
      <c r="O68" s="217"/>
      <c r="P68" s="129">
        <f>Q68+R68+S68</f>
        <v>8715000</v>
      </c>
      <c r="Q68" s="129">
        <f>SUM(Q69:Q70)</f>
        <v>8715000</v>
      </c>
      <c r="R68" s="129">
        <v>0</v>
      </c>
      <c r="S68" s="129">
        <v>0</v>
      </c>
      <c r="T68" s="258" t="s">
        <v>1962</v>
      </c>
      <c r="U68" s="240">
        <v>42663</v>
      </c>
    </row>
    <row r="69" spans="1:21" s="283" customFormat="1" ht="27" customHeight="1" hidden="1" outlineLevel="1">
      <c r="A69" s="274">
        <f>IF(B69&lt;&gt;"",SUBTOTAL(103,$D$7:$D69),"")</f>
      </c>
      <c r="B69" s="220"/>
      <c r="C69" s="221"/>
      <c r="D69" s="47"/>
      <c r="E69" s="42"/>
      <c r="F69" s="42"/>
      <c r="G69" s="42"/>
      <c r="H69" s="42"/>
      <c r="I69" s="42"/>
      <c r="J69" s="45"/>
      <c r="K69" s="128"/>
      <c r="L69" s="45">
        <v>42370</v>
      </c>
      <c r="M69" s="45">
        <v>42461</v>
      </c>
      <c r="N69" s="128">
        <f>DATEDIF(L69,M69,"m")+1</f>
        <v>4</v>
      </c>
      <c r="O69" s="129">
        <v>1150000</v>
      </c>
      <c r="P69" s="129"/>
      <c r="Q69" s="129">
        <f>N69*O69*1.5</f>
        <v>6900000</v>
      </c>
      <c r="R69" s="129"/>
      <c r="S69" s="129"/>
      <c r="T69" s="260"/>
      <c r="U69" s="222"/>
    </row>
    <row r="70" spans="1:21" s="283" customFormat="1" ht="27" customHeight="1" hidden="1" outlineLevel="1">
      <c r="A70" s="274">
        <f>IF(B70&lt;&gt;"",SUBTOTAL(103,$D$7:$D70),"")</f>
      </c>
      <c r="B70" s="220"/>
      <c r="C70" s="221"/>
      <c r="D70" s="47"/>
      <c r="E70" s="42"/>
      <c r="F70" s="42"/>
      <c r="G70" s="42"/>
      <c r="H70" s="42"/>
      <c r="I70" s="42"/>
      <c r="J70" s="45"/>
      <c r="K70" s="128"/>
      <c r="L70" s="45">
        <v>42491</v>
      </c>
      <c r="M70" s="45">
        <v>42491</v>
      </c>
      <c r="N70" s="128">
        <f>DATEDIF(L70,M70,"m")+1</f>
        <v>1</v>
      </c>
      <c r="O70" s="129">
        <v>1210000</v>
      </c>
      <c r="P70" s="129"/>
      <c r="Q70" s="129">
        <f>N70*O70*1.5</f>
        <v>1815000</v>
      </c>
      <c r="R70" s="129"/>
      <c r="S70" s="129"/>
      <c r="T70" s="260"/>
      <c r="U70" s="222"/>
    </row>
    <row r="71" spans="1:21" s="273" customFormat="1" ht="27" customHeight="1" collapsed="1">
      <c r="A71" s="274">
        <f>IF(B71&lt;&gt;"",SUBTOTAL(103,$D$7:$D71),"")</f>
      </c>
      <c r="B71" s="213"/>
      <c r="C71" s="214" t="s">
        <v>482</v>
      </c>
      <c r="D71" s="215"/>
      <c r="E71" s="7"/>
      <c r="F71" s="7"/>
      <c r="G71" s="7"/>
      <c r="H71" s="7"/>
      <c r="I71" s="7"/>
      <c r="J71" s="136"/>
      <c r="K71" s="20"/>
      <c r="L71" s="21"/>
      <c r="M71" s="21"/>
      <c r="N71" s="22"/>
      <c r="O71" s="11"/>
      <c r="P71" s="120">
        <f>SUBTOTAL(109,P72:P76)</f>
        <v>298987500</v>
      </c>
      <c r="Q71" s="120">
        <f>SUBTOTAL(109,Q72:Q76)</f>
        <v>72450000</v>
      </c>
      <c r="R71" s="120">
        <f>SUBTOTAL(109,R72:R76)</f>
        <v>88537500</v>
      </c>
      <c r="S71" s="120">
        <f>SUBTOTAL(109,S72:S76)</f>
        <v>138000000</v>
      </c>
      <c r="T71" s="262"/>
      <c r="U71" s="216"/>
    </row>
    <row r="72" spans="1:21" s="204" customFormat="1" ht="27" customHeight="1" collapsed="1">
      <c r="A72" s="274">
        <f>IF(B72&lt;&gt;"",SUBTOTAL(103,$D$7:$D72),"")</f>
        <v>30</v>
      </c>
      <c r="B72" s="220">
        <f>IF(C72&lt;&gt;"",SUBTOTAL(103,$C$72:$C72),"")</f>
        <v>1</v>
      </c>
      <c r="C72" s="221" t="s">
        <v>777</v>
      </c>
      <c r="D72" s="47" t="s">
        <v>778</v>
      </c>
      <c r="E72" s="42" t="s">
        <v>324</v>
      </c>
      <c r="F72" s="42" t="s">
        <v>779</v>
      </c>
      <c r="G72" s="42" t="s">
        <v>346</v>
      </c>
      <c r="H72" s="42" t="s">
        <v>477</v>
      </c>
      <c r="I72" s="42" t="s">
        <v>44</v>
      </c>
      <c r="J72" s="45">
        <v>41609</v>
      </c>
      <c r="K72" s="127">
        <v>20</v>
      </c>
      <c r="L72" s="362" t="s">
        <v>46</v>
      </c>
      <c r="M72" s="363"/>
      <c r="N72" s="101"/>
      <c r="O72" s="137">
        <v>1150000</v>
      </c>
      <c r="P72" s="137">
        <f>Q72+R72+S72</f>
        <v>46387500</v>
      </c>
      <c r="Q72" s="137">
        <f>N72*O72*1.5</f>
        <v>0</v>
      </c>
      <c r="R72" s="129">
        <f>3637500+8250000</f>
        <v>11887500</v>
      </c>
      <c r="S72" s="137">
        <f>30*O72</f>
        <v>34500000</v>
      </c>
      <c r="T72" s="258" t="s">
        <v>1320</v>
      </c>
      <c r="U72" s="222"/>
    </row>
    <row r="73" spans="1:21" s="204" customFormat="1" ht="27" customHeight="1">
      <c r="A73" s="274">
        <f>IF(B73&lt;&gt;"",SUBTOTAL(103,$D$7:$D73),"")</f>
        <v>31</v>
      </c>
      <c r="B73" s="220">
        <f>IF(C73&lt;&gt;"",SUBTOTAL(103,$C$72:$C73),"")</f>
        <v>2</v>
      </c>
      <c r="C73" s="221" t="s">
        <v>1319</v>
      </c>
      <c r="D73" s="47" t="s">
        <v>780</v>
      </c>
      <c r="E73" s="42" t="s">
        <v>324</v>
      </c>
      <c r="F73" s="42" t="s">
        <v>781</v>
      </c>
      <c r="G73" s="42" t="s">
        <v>346</v>
      </c>
      <c r="H73" s="42" t="s">
        <v>782</v>
      </c>
      <c r="I73" s="42" t="s">
        <v>44</v>
      </c>
      <c r="J73" s="45">
        <v>41275</v>
      </c>
      <c r="K73" s="127">
        <v>20</v>
      </c>
      <c r="L73" s="284"/>
      <c r="M73" s="284"/>
      <c r="N73" s="101">
        <v>0</v>
      </c>
      <c r="O73" s="137">
        <v>1150000</v>
      </c>
      <c r="P73" s="137">
        <f>Q73+R73+S73</f>
        <v>49050000</v>
      </c>
      <c r="Q73" s="137">
        <f>N73*O73*1.5</f>
        <v>0</v>
      </c>
      <c r="R73" s="129">
        <f>4125000+7275000+3150000</f>
        <v>14550000</v>
      </c>
      <c r="S73" s="137">
        <f>30*O73</f>
        <v>34500000</v>
      </c>
      <c r="T73" s="258" t="s">
        <v>1321</v>
      </c>
      <c r="U73" s="222"/>
    </row>
    <row r="74" spans="1:21" s="204" customFormat="1" ht="27" customHeight="1">
      <c r="A74" s="274">
        <f>IF(B74&lt;&gt;"",SUBTOTAL(103,$D$7:$D74),"")</f>
        <v>32</v>
      </c>
      <c r="B74" s="220">
        <f>IF(C74&lt;&gt;"",SUBTOTAL(103,$C$72:$C74),"")</f>
        <v>3</v>
      </c>
      <c r="C74" s="221" t="s">
        <v>1414</v>
      </c>
      <c r="D74" s="47" t="s">
        <v>1415</v>
      </c>
      <c r="E74" s="42" t="s">
        <v>1416</v>
      </c>
      <c r="F74" s="42" t="s">
        <v>1417</v>
      </c>
      <c r="G74" s="42" t="s">
        <v>346</v>
      </c>
      <c r="H74" s="42" t="s">
        <v>1418</v>
      </c>
      <c r="I74" s="42" t="s">
        <v>1419</v>
      </c>
      <c r="J74" s="45">
        <v>41609</v>
      </c>
      <c r="K74" s="127">
        <v>0</v>
      </c>
      <c r="L74" s="284">
        <v>41609</v>
      </c>
      <c r="M74" s="284">
        <v>42186</v>
      </c>
      <c r="N74" s="128">
        <f>DATEDIF(L74,M74,"m")+1</f>
        <v>20</v>
      </c>
      <c r="O74" s="137">
        <v>1150000</v>
      </c>
      <c r="P74" s="137">
        <f>Q74+R74+S74</f>
        <v>100050000</v>
      </c>
      <c r="Q74" s="137">
        <f>N74*O74*1.5</f>
        <v>34500000</v>
      </c>
      <c r="R74" s="129">
        <f>10650000+10200000+10200000</f>
        <v>31050000</v>
      </c>
      <c r="S74" s="137">
        <f>30*O74</f>
        <v>34500000</v>
      </c>
      <c r="T74" s="258" t="s">
        <v>1420</v>
      </c>
      <c r="U74" s="240">
        <v>42641</v>
      </c>
    </row>
    <row r="75" spans="1:21" s="204" customFormat="1" ht="27" customHeight="1">
      <c r="A75" s="274">
        <f>IF(B75&lt;&gt;"",SUBTOTAL(103,$D$7:$D75),"")</f>
        <v>33</v>
      </c>
      <c r="B75" s="220">
        <f>IF(C75&lt;&gt;"",SUBTOTAL(103,$C$72:$C75),"")</f>
        <v>4</v>
      </c>
      <c r="C75" s="221" t="s">
        <v>1421</v>
      </c>
      <c r="D75" s="47" t="s">
        <v>1422</v>
      </c>
      <c r="E75" s="42" t="s">
        <v>1423</v>
      </c>
      <c r="F75" s="42" t="s">
        <v>1424</v>
      </c>
      <c r="G75" s="42" t="s">
        <v>346</v>
      </c>
      <c r="H75" s="42" t="s">
        <v>1425</v>
      </c>
      <c r="I75" s="42" t="s">
        <v>1419</v>
      </c>
      <c r="J75" s="45">
        <v>41609</v>
      </c>
      <c r="K75" s="127">
        <v>0</v>
      </c>
      <c r="L75" s="284">
        <v>41609</v>
      </c>
      <c r="M75" s="284">
        <v>42186</v>
      </c>
      <c r="N75" s="128">
        <f>DATEDIF(L75,M75,"m")+1</f>
        <v>20</v>
      </c>
      <c r="O75" s="137">
        <v>1150000</v>
      </c>
      <c r="P75" s="137">
        <f>Q75+R75+S75</f>
        <v>100050000</v>
      </c>
      <c r="Q75" s="137">
        <f>N75*O75*1.5</f>
        <v>34500000</v>
      </c>
      <c r="R75" s="129">
        <f>10650000+10200000+10200000</f>
        <v>31050000</v>
      </c>
      <c r="S75" s="137">
        <f>30*O75</f>
        <v>34500000</v>
      </c>
      <c r="T75" s="258" t="s">
        <v>1420</v>
      </c>
      <c r="U75" s="240">
        <v>42641</v>
      </c>
    </row>
    <row r="76" spans="1:21" s="283" customFormat="1" ht="27" customHeight="1">
      <c r="A76" s="274">
        <f>IF(B76&lt;&gt;"",SUBTOTAL(103,$D$7:$D76),"")</f>
        <v>34</v>
      </c>
      <c r="B76" s="220">
        <f>IF(C76&lt;&gt;"",SUBTOTAL(103,$C$72:$C76),"")</f>
        <v>5</v>
      </c>
      <c r="C76" s="285" t="s">
        <v>1088</v>
      </c>
      <c r="D76" s="286" t="s">
        <v>1089</v>
      </c>
      <c r="E76" s="243" t="s">
        <v>2143</v>
      </c>
      <c r="F76" s="243" t="s">
        <v>1090</v>
      </c>
      <c r="G76" s="243" t="s">
        <v>346</v>
      </c>
      <c r="H76" s="243" t="s">
        <v>1168</v>
      </c>
      <c r="I76" s="243" t="s">
        <v>1091</v>
      </c>
      <c r="J76" s="287">
        <v>41821</v>
      </c>
      <c r="K76" s="288">
        <v>18</v>
      </c>
      <c r="L76" s="291">
        <v>42370</v>
      </c>
      <c r="M76" s="291">
        <v>42401</v>
      </c>
      <c r="N76" s="289">
        <f>DATEDIF(L76,M76,"m")+1</f>
        <v>2</v>
      </c>
      <c r="O76" s="137">
        <v>1150000</v>
      </c>
      <c r="P76" s="137">
        <f>Q76+R76+S76</f>
        <v>3450000</v>
      </c>
      <c r="Q76" s="137">
        <f>N76*O76*1.5</f>
        <v>3450000</v>
      </c>
      <c r="R76" s="129">
        <v>0</v>
      </c>
      <c r="S76" s="290">
        <v>0</v>
      </c>
      <c r="T76" s="258" t="s">
        <v>1962</v>
      </c>
      <c r="U76" s="240">
        <v>42633</v>
      </c>
    </row>
    <row r="77" spans="1:21" s="273" customFormat="1" ht="27" customHeight="1">
      <c r="A77" s="274">
        <f>IF(B77&lt;&gt;"",SUBTOTAL(103,$D$7:$D77),"")</f>
      </c>
      <c r="B77" s="213"/>
      <c r="C77" s="214" t="s">
        <v>483</v>
      </c>
      <c r="D77" s="215"/>
      <c r="E77" s="7"/>
      <c r="F77" s="7"/>
      <c r="G77" s="7"/>
      <c r="H77" s="7"/>
      <c r="I77" s="7"/>
      <c r="J77" s="136"/>
      <c r="K77" s="20"/>
      <c r="L77" s="21"/>
      <c r="M77" s="21"/>
      <c r="N77" s="22"/>
      <c r="O77" s="11"/>
      <c r="P77" s="120">
        <f>SUBTOTAL(109,P78:P79)</f>
        <v>69000000</v>
      </c>
      <c r="Q77" s="120">
        <f>SUBTOTAL(109,Q78:Q79)</f>
        <v>0</v>
      </c>
      <c r="R77" s="120">
        <f>SUBTOTAL(109,R78:R79)</f>
        <v>0</v>
      </c>
      <c r="S77" s="120">
        <f>SUBTOTAL(109,S78:S79)</f>
        <v>69000000</v>
      </c>
      <c r="T77" s="262"/>
      <c r="U77" s="216"/>
    </row>
    <row r="78" spans="1:21" s="204" customFormat="1" ht="27" customHeight="1">
      <c r="A78" s="274">
        <f>IF(B78&lt;&gt;"",SUBTOTAL(103,$D$7:$D78),"")</f>
        <v>35</v>
      </c>
      <c r="B78" s="220">
        <f>IF(C78&lt;&gt;"",SUBTOTAL(103,$C$78:$C78),"")</f>
        <v>1</v>
      </c>
      <c r="C78" s="221" t="s">
        <v>375</v>
      </c>
      <c r="D78" s="47" t="s">
        <v>372</v>
      </c>
      <c r="E78" s="42" t="s">
        <v>373</v>
      </c>
      <c r="F78" s="42" t="s">
        <v>374</v>
      </c>
      <c r="G78" s="42" t="s">
        <v>346</v>
      </c>
      <c r="H78" s="42" t="s">
        <v>449</v>
      </c>
      <c r="I78" s="42" t="s">
        <v>255</v>
      </c>
      <c r="J78" s="45">
        <v>41609</v>
      </c>
      <c r="K78" s="128">
        <v>20</v>
      </c>
      <c r="L78" s="362" t="s">
        <v>46</v>
      </c>
      <c r="M78" s="363"/>
      <c r="N78" s="101">
        <v>0</v>
      </c>
      <c r="O78" s="129">
        <v>1150000</v>
      </c>
      <c r="P78" s="129">
        <f>Q78+R78+S78</f>
        <v>34500000</v>
      </c>
      <c r="Q78" s="129">
        <f>N78*O78*1.5</f>
        <v>0</v>
      </c>
      <c r="R78" s="129"/>
      <c r="S78" s="129">
        <f>30*O78</f>
        <v>34500000</v>
      </c>
      <c r="T78" s="264" t="s">
        <v>1995</v>
      </c>
      <c r="U78" s="240">
        <v>42648</v>
      </c>
    </row>
    <row r="79" spans="1:21" s="204" customFormat="1" ht="27" customHeight="1">
      <c r="A79" s="274">
        <f>IF(B79&lt;&gt;"",SUBTOTAL(103,$D$7:$D79),"")</f>
        <v>36</v>
      </c>
      <c r="B79" s="220">
        <f>IF(C79&lt;&gt;"",SUBTOTAL(103,$C$78:$C79),"")</f>
        <v>2</v>
      </c>
      <c r="C79" s="221" t="s">
        <v>756</v>
      </c>
      <c r="D79" s="47" t="s">
        <v>757</v>
      </c>
      <c r="E79" s="42" t="s">
        <v>758</v>
      </c>
      <c r="F79" s="42" t="s">
        <v>759</v>
      </c>
      <c r="G79" s="42" t="s">
        <v>346</v>
      </c>
      <c r="H79" s="42" t="s">
        <v>449</v>
      </c>
      <c r="I79" s="42" t="s">
        <v>760</v>
      </c>
      <c r="J79" s="45">
        <v>41214</v>
      </c>
      <c r="K79" s="128">
        <v>20</v>
      </c>
      <c r="L79" s="362" t="s">
        <v>46</v>
      </c>
      <c r="M79" s="363"/>
      <c r="N79" s="101">
        <v>0</v>
      </c>
      <c r="O79" s="129">
        <v>1150000</v>
      </c>
      <c r="P79" s="129">
        <f>Q79+R79+S79</f>
        <v>34500000</v>
      </c>
      <c r="Q79" s="129">
        <f>N79*O79*1.5</f>
        <v>0</v>
      </c>
      <c r="R79" s="129">
        <v>0</v>
      </c>
      <c r="S79" s="129">
        <f>30*O79</f>
        <v>34500000</v>
      </c>
      <c r="T79" s="264" t="s">
        <v>1995</v>
      </c>
      <c r="U79" s="240">
        <v>42648</v>
      </c>
    </row>
    <row r="80" spans="1:21" s="273" customFormat="1" ht="27" customHeight="1">
      <c r="A80" s="274">
        <f>IF(B80&lt;&gt;"",SUBTOTAL(103,$D$7:$D80),"")</f>
      </c>
      <c r="B80" s="213"/>
      <c r="C80" s="214" t="s">
        <v>345</v>
      </c>
      <c r="D80" s="215"/>
      <c r="E80" s="7"/>
      <c r="F80" s="7"/>
      <c r="G80" s="7"/>
      <c r="H80" s="7"/>
      <c r="I80" s="7"/>
      <c r="J80" s="136"/>
      <c r="K80" s="20"/>
      <c r="L80" s="21"/>
      <c r="M80" s="21"/>
      <c r="N80" s="22"/>
      <c r="O80" s="11"/>
      <c r="P80" s="120">
        <f>SUBTOTAL(109,P81:P255)</f>
        <v>6009351000</v>
      </c>
      <c r="Q80" s="120">
        <f>SUBTOTAL(109,Q81:Q255)</f>
        <v>3052740000</v>
      </c>
      <c r="R80" s="120">
        <f>SUBTOTAL(109,R81:R255)</f>
        <v>1624011000</v>
      </c>
      <c r="S80" s="120">
        <f>SUBTOTAL(109,S81:S255)</f>
        <v>1332600000</v>
      </c>
      <c r="T80" s="262"/>
      <c r="U80" s="216"/>
    </row>
    <row r="81" spans="1:21" s="204" customFormat="1" ht="27" customHeight="1">
      <c r="A81" s="274">
        <f>IF(B81&lt;&gt;"",SUBTOTAL(103,$D$7:$D81),"")</f>
        <v>37</v>
      </c>
      <c r="B81" s="220">
        <f>IF(C81&lt;&gt;"",SUBTOTAL(103,$C$81:$C81),"")</f>
        <v>1</v>
      </c>
      <c r="C81" s="221" t="s">
        <v>342</v>
      </c>
      <c r="D81" s="47" t="s">
        <v>343</v>
      </c>
      <c r="E81" s="42" t="s">
        <v>2144</v>
      </c>
      <c r="F81" s="42" t="s">
        <v>344</v>
      </c>
      <c r="G81" s="42" t="s">
        <v>341</v>
      </c>
      <c r="H81" s="42" t="s">
        <v>1114</v>
      </c>
      <c r="I81" s="42" t="s">
        <v>1113</v>
      </c>
      <c r="J81" s="45">
        <v>40878</v>
      </c>
      <c r="K81" s="127">
        <v>30</v>
      </c>
      <c r="L81" s="362"/>
      <c r="M81" s="363"/>
      <c r="N81" s="101">
        <v>0</v>
      </c>
      <c r="O81" s="137">
        <v>1150000</v>
      </c>
      <c r="P81" s="129">
        <f aca="true" t="shared" si="1" ref="P81:P90">Q81+R81+S81</f>
        <v>30375000</v>
      </c>
      <c r="Q81" s="129">
        <f>N81*O81*1.5</f>
        <v>0</v>
      </c>
      <c r="R81" s="129">
        <f>16250000+14125000</f>
        <v>30375000</v>
      </c>
      <c r="S81" s="129">
        <v>0</v>
      </c>
      <c r="T81" s="255" t="s">
        <v>91</v>
      </c>
      <c r="U81" s="222"/>
    </row>
    <row r="82" spans="1:21" s="204" customFormat="1" ht="27" customHeight="1">
      <c r="A82" s="274">
        <f>IF(B82&lt;&gt;"",SUBTOTAL(103,$D$7:$D82),"")</f>
        <v>38</v>
      </c>
      <c r="B82" s="220">
        <f>IF(C82&lt;&gt;"",SUBTOTAL(103,$C$81:$C82),"")</f>
        <v>2</v>
      </c>
      <c r="C82" s="221" t="s">
        <v>1559</v>
      </c>
      <c r="D82" s="47" t="s">
        <v>1560</v>
      </c>
      <c r="E82" s="42" t="s">
        <v>1561</v>
      </c>
      <c r="F82" s="42" t="s">
        <v>1562</v>
      </c>
      <c r="G82" s="42" t="s">
        <v>346</v>
      </c>
      <c r="H82" s="42" t="s">
        <v>1563</v>
      </c>
      <c r="I82" s="42" t="s">
        <v>252</v>
      </c>
      <c r="J82" s="45">
        <v>42005</v>
      </c>
      <c r="K82" s="127">
        <v>0</v>
      </c>
      <c r="L82" s="45">
        <v>42005</v>
      </c>
      <c r="M82" s="45">
        <v>42583</v>
      </c>
      <c r="N82" s="128">
        <f aca="true" t="shared" si="2" ref="N82:N145">DATEDIF(L82,M82,"m")+1</f>
        <v>20</v>
      </c>
      <c r="O82" s="137"/>
      <c r="P82" s="129">
        <f t="shared" si="1"/>
        <v>55635000</v>
      </c>
      <c r="Q82" s="129">
        <f>SUM(Q83:Q84)</f>
        <v>34860000</v>
      </c>
      <c r="R82" s="129">
        <f>9750000+11025000</f>
        <v>20775000</v>
      </c>
      <c r="S82" s="129">
        <v>0</v>
      </c>
      <c r="T82" s="255" t="s">
        <v>1996</v>
      </c>
      <c r="U82" s="240">
        <v>42656</v>
      </c>
    </row>
    <row r="83" spans="1:21" s="204" customFormat="1" ht="27" customHeight="1" hidden="1" outlineLevel="1">
      <c r="A83" s="274">
        <f>IF(B83&lt;&gt;"",SUBTOTAL(103,$D$7:$D83),"")</f>
      </c>
      <c r="B83" s="220">
        <f>IF(C83&lt;&gt;"",SUBTOTAL(103,$C$81:$C83),"")</f>
      </c>
      <c r="C83" s="221"/>
      <c r="D83" s="47"/>
      <c r="E83" s="42"/>
      <c r="F83" s="42"/>
      <c r="G83" s="42"/>
      <c r="H83" s="42"/>
      <c r="I83" s="42"/>
      <c r="J83" s="45"/>
      <c r="K83" s="127"/>
      <c r="L83" s="45">
        <v>42005</v>
      </c>
      <c r="M83" s="45">
        <v>42461</v>
      </c>
      <c r="N83" s="128">
        <f t="shared" si="2"/>
        <v>16</v>
      </c>
      <c r="O83" s="137">
        <v>1150000</v>
      </c>
      <c r="P83" s="129">
        <f t="shared" si="1"/>
        <v>27600000</v>
      </c>
      <c r="Q83" s="129">
        <f>N83*O83*1.5</f>
        <v>27600000</v>
      </c>
      <c r="R83" s="129"/>
      <c r="S83" s="129">
        <v>0</v>
      </c>
      <c r="T83" s="255"/>
      <c r="U83" s="222"/>
    </row>
    <row r="84" spans="1:21" s="204" customFormat="1" ht="27" customHeight="1" hidden="1" outlineLevel="1">
      <c r="A84" s="274">
        <f>IF(B84&lt;&gt;"",SUBTOTAL(103,$D$7:$D84),"")</f>
      </c>
      <c r="B84" s="220">
        <f>IF(C84&lt;&gt;"",SUBTOTAL(103,$C$81:$C84),"")</f>
      </c>
      <c r="C84" s="221"/>
      <c r="D84" s="47"/>
      <c r="E84" s="42"/>
      <c r="F84" s="42"/>
      <c r="G84" s="42"/>
      <c r="H84" s="42"/>
      <c r="I84" s="42"/>
      <c r="J84" s="45"/>
      <c r="K84" s="127"/>
      <c r="L84" s="45">
        <v>42491</v>
      </c>
      <c r="M84" s="45">
        <v>42583</v>
      </c>
      <c r="N84" s="128">
        <f t="shared" si="2"/>
        <v>4</v>
      </c>
      <c r="O84" s="137">
        <v>1210000</v>
      </c>
      <c r="P84" s="129">
        <f t="shared" si="1"/>
        <v>7260000</v>
      </c>
      <c r="Q84" s="129">
        <f>N84*O84*1.5</f>
        <v>7260000</v>
      </c>
      <c r="R84" s="129"/>
      <c r="S84" s="129">
        <v>0</v>
      </c>
      <c r="T84" s="255"/>
      <c r="U84" s="222"/>
    </row>
    <row r="85" spans="1:21" s="204" customFormat="1" ht="27" customHeight="1" collapsed="1">
      <c r="A85" s="274">
        <f>IF(B85&lt;&gt;"",SUBTOTAL(103,$D$7:$D85),"")</f>
        <v>39</v>
      </c>
      <c r="B85" s="220">
        <f>IF(C85&lt;&gt;"",SUBTOTAL(103,$C$81:$C85),"")</f>
        <v>3</v>
      </c>
      <c r="C85" s="221" t="s">
        <v>1564</v>
      </c>
      <c r="D85" s="47" t="s">
        <v>1565</v>
      </c>
      <c r="E85" s="42" t="s">
        <v>1566</v>
      </c>
      <c r="F85" s="42" t="s">
        <v>1567</v>
      </c>
      <c r="G85" s="42" t="s">
        <v>1198</v>
      </c>
      <c r="H85" s="42" t="s">
        <v>632</v>
      </c>
      <c r="I85" s="42" t="s">
        <v>252</v>
      </c>
      <c r="J85" s="45">
        <v>42005</v>
      </c>
      <c r="K85" s="127">
        <v>0</v>
      </c>
      <c r="L85" s="45">
        <v>42005</v>
      </c>
      <c r="M85" s="45">
        <v>42583</v>
      </c>
      <c r="N85" s="128">
        <f t="shared" si="2"/>
        <v>20</v>
      </c>
      <c r="O85" s="137"/>
      <c r="P85" s="129">
        <f t="shared" si="1"/>
        <v>55810000</v>
      </c>
      <c r="Q85" s="129">
        <f>SUM(Q86:Q87)</f>
        <v>34860000</v>
      </c>
      <c r="R85" s="129">
        <f>9750000+11200000</f>
        <v>20950000</v>
      </c>
      <c r="S85" s="129">
        <v>0</v>
      </c>
      <c r="T85" s="255" t="s">
        <v>1997</v>
      </c>
      <c r="U85" s="240">
        <v>42656</v>
      </c>
    </row>
    <row r="86" spans="1:21" s="204" customFormat="1" ht="27" customHeight="1" hidden="1" outlineLevel="1">
      <c r="A86" s="274">
        <f>IF(B86&lt;&gt;"",SUBTOTAL(103,$D$7:$D86),"")</f>
      </c>
      <c r="B86" s="220">
        <f>IF(C86&lt;&gt;"",SUBTOTAL(103,$C$81:$C86),"")</f>
      </c>
      <c r="C86" s="221"/>
      <c r="D86" s="47"/>
      <c r="E86" s="42"/>
      <c r="F86" s="42"/>
      <c r="G86" s="42"/>
      <c r="H86" s="42"/>
      <c r="I86" s="42"/>
      <c r="J86" s="45"/>
      <c r="K86" s="127"/>
      <c r="L86" s="45">
        <v>42005</v>
      </c>
      <c r="M86" s="45">
        <v>42461</v>
      </c>
      <c r="N86" s="128">
        <f t="shared" si="2"/>
        <v>16</v>
      </c>
      <c r="O86" s="137">
        <v>1150000</v>
      </c>
      <c r="P86" s="129">
        <f t="shared" si="1"/>
        <v>27600000</v>
      </c>
      <c r="Q86" s="129">
        <f>N86*O86*1.5</f>
        <v>27600000</v>
      </c>
      <c r="R86" s="129"/>
      <c r="S86" s="129">
        <v>0</v>
      </c>
      <c r="T86" s="255"/>
      <c r="U86" s="222"/>
    </row>
    <row r="87" spans="1:21" s="204" customFormat="1" ht="27" customHeight="1" hidden="1" outlineLevel="1">
      <c r="A87" s="274">
        <f>IF(B87&lt;&gt;"",SUBTOTAL(103,$D$7:$D87),"")</f>
      </c>
      <c r="B87" s="220">
        <f>IF(C87&lt;&gt;"",SUBTOTAL(103,$C$81:$C87),"")</f>
      </c>
      <c r="C87" s="221"/>
      <c r="D87" s="47"/>
      <c r="E87" s="42"/>
      <c r="F87" s="42"/>
      <c r="G87" s="42"/>
      <c r="H87" s="42"/>
      <c r="I87" s="42"/>
      <c r="J87" s="45"/>
      <c r="K87" s="127"/>
      <c r="L87" s="45">
        <v>42491</v>
      </c>
      <c r="M87" s="45">
        <v>42583</v>
      </c>
      <c r="N87" s="128">
        <f t="shared" si="2"/>
        <v>4</v>
      </c>
      <c r="O87" s="137">
        <v>1210000</v>
      </c>
      <c r="P87" s="129">
        <f t="shared" si="1"/>
        <v>7260000</v>
      </c>
      <c r="Q87" s="129">
        <f>N87*O87*1.5</f>
        <v>7260000</v>
      </c>
      <c r="R87" s="129"/>
      <c r="S87" s="129">
        <v>0</v>
      </c>
      <c r="T87" s="255"/>
      <c r="U87" s="222"/>
    </row>
    <row r="88" spans="1:21" s="204" customFormat="1" ht="27" customHeight="1" collapsed="1">
      <c r="A88" s="274">
        <f>IF(B88&lt;&gt;"",SUBTOTAL(103,$D$7:$D88),"")</f>
        <v>40</v>
      </c>
      <c r="B88" s="220">
        <f>IF(C88&lt;&gt;"",SUBTOTAL(103,$C$81:$C88),"")</f>
        <v>4</v>
      </c>
      <c r="C88" s="221" t="s">
        <v>1568</v>
      </c>
      <c r="D88" s="47" t="s">
        <v>1569</v>
      </c>
      <c r="E88" s="42" t="s">
        <v>1570</v>
      </c>
      <c r="F88" s="42" t="s">
        <v>1571</v>
      </c>
      <c r="G88" s="42" t="s">
        <v>1198</v>
      </c>
      <c r="H88" s="42" t="s">
        <v>632</v>
      </c>
      <c r="I88" s="42" t="s">
        <v>252</v>
      </c>
      <c r="J88" s="45">
        <v>42005</v>
      </c>
      <c r="K88" s="127">
        <v>0</v>
      </c>
      <c r="L88" s="45">
        <v>42005</v>
      </c>
      <c r="M88" s="45">
        <v>42583</v>
      </c>
      <c r="N88" s="128">
        <f t="shared" si="2"/>
        <v>20</v>
      </c>
      <c r="O88" s="137"/>
      <c r="P88" s="129">
        <f t="shared" si="1"/>
        <v>55635000</v>
      </c>
      <c r="Q88" s="129">
        <f>SUM(Q89:Q90)</f>
        <v>34860000</v>
      </c>
      <c r="R88" s="129">
        <f>9750000+11025000</f>
        <v>20775000</v>
      </c>
      <c r="S88" s="129">
        <v>0</v>
      </c>
      <c r="T88" s="255" t="s">
        <v>1996</v>
      </c>
      <c r="U88" s="240">
        <v>42656</v>
      </c>
    </row>
    <row r="89" spans="1:21" s="204" customFormat="1" ht="27" customHeight="1" hidden="1" outlineLevel="1">
      <c r="A89" s="274">
        <f>IF(B89&lt;&gt;"",SUBTOTAL(103,$D$7:$D89),"")</f>
      </c>
      <c r="B89" s="220">
        <f>IF(C89&lt;&gt;"",SUBTOTAL(103,$C$81:$C89),"")</f>
      </c>
      <c r="C89" s="221"/>
      <c r="D89" s="47"/>
      <c r="E89" s="42"/>
      <c r="F89" s="42"/>
      <c r="G89" s="42"/>
      <c r="H89" s="42"/>
      <c r="I89" s="42"/>
      <c r="J89" s="45"/>
      <c r="K89" s="127"/>
      <c r="L89" s="45">
        <v>42005</v>
      </c>
      <c r="M89" s="45">
        <v>42461</v>
      </c>
      <c r="N89" s="128">
        <f t="shared" si="2"/>
        <v>16</v>
      </c>
      <c r="O89" s="137">
        <v>1150000</v>
      </c>
      <c r="P89" s="129">
        <f t="shared" si="1"/>
        <v>27600000</v>
      </c>
      <c r="Q89" s="129">
        <f>N89*O89*1.5</f>
        <v>27600000</v>
      </c>
      <c r="R89" s="129"/>
      <c r="S89" s="129">
        <v>0</v>
      </c>
      <c r="T89" s="255"/>
      <c r="U89" s="222"/>
    </row>
    <row r="90" spans="1:21" s="204" customFormat="1" ht="27" customHeight="1" hidden="1" outlineLevel="1">
      <c r="A90" s="274">
        <f>IF(B90&lt;&gt;"",SUBTOTAL(103,$D$7:$D90),"")</f>
      </c>
      <c r="B90" s="220">
        <f>IF(C90&lt;&gt;"",SUBTOTAL(103,$C$81:$C90),"")</f>
      </c>
      <c r="C90" s="221"/>
      <c r="D90" s="47"/>
      <c r="E90" s="42"/>
      <c r="F90" s="42"/>
      <c r="G90" s="42"/>
      <c r="H90" s="42"/>
      <c r="I90" s="42"/>
      <c r="J90" s="45"/>
      <c r="K90" s="127"/>
      <c r="L90" s="45">
        <v>42491</v>
      </c>
      <c r="M90" s="45">
        <v>42583</v>
      </c>
      <c r="N90" s="128">
        <f t="shared" si="2"/>
        <v>4</v>
      </c>
      <c r="O90" s="137">
        <v>1210000</v>
      </c>
      <c r="P90" s="129">
        <f t="shared" si="1"/>
        <v>7260000</v>
      </c>
      <c r="Q90" s="129">
        <f>N90*O90*1.5</f>
        <v>7260000</v>
      </c>
      <c r="R90" s="129"/>
      <c r="S90" s="129">
        <v>0</v>
      </c>
      <c r="T90" s="255"/>
      <c r="U90" s="222"/>
    </row>
    <row r="91" spans="1:21" s="204" customFormat="1" ht="27" customHeight="1" collapsed="1">
      <c r="A91" s="274">
        <f>IF(B91&lt;&gt;"",SUBTOTAL(103,$D$7:$D91),"")</f>
        <v>41</v>
      </c>
      <c r="B91" s="220">
        <f>IF(C91&lt;&gt;"",SUBTOTAL(103,$C$81:$C91),"")</f>
        <v>5</v>
      </c>
      <c r="C91" s="221" t="s">
        <v>1572</v>
      </c>
      <c r="D91" s="47" t="s">
        <v>1573</v>
      </c>
      <c r="E91" s="42" t="s">
        <v>1574</v>
      </c>
      <c r="F91" s="42" t="s">
        <v>1575</v>
      </c>
      <c r="G91" s="42" t="s">
        <v>346</v>
      </c>
      <c r="H91" s="42" t="s">
        <v>1563</v>
      </c>
      <c r="I91" s="42" t="s">
        <v>1297</v>
      </c>
      <c r="J91" s="45">
        <v>42005</v>
      </c>
      <c r="K91" s="127">
        <v>0</v>
      </c>
      <c r="L91" s="45">
        <v>42005</v>
      </c>
      <c r="M91" s="45">
        <v>42583</v>
      </c>
      <c r="N91" s="128">
        <f t="shared" si="2"/>
        <v>20</v>
      </c>
      <c r="O91" s="137"/>
      <c r="P91" s="129">
        <f>SUM(Q91:S91)</f>
        <v>52260000</v>
      </c>
      <c r="Q91" s="129">
        <f>SUM(Q92:Q93)</f>
        <v>34860000</v>
      </c>
      <c r="R91" s="129">
        <f>8250000+8250000+900000</f>
        <v>17400000</v>
      </c>
      <c r="S91" s="129">
        <v>0</v>
      </c>
      <c r="T91" s="255" t="s">
        <v>1998</v>
      </c>
      <c r="U91" s="240">
        <v>42656</v>
      </c>
    </row>
    <row r="92" spans="1:21" s="204" customFormat="1" ht="27" customHeight="1" hidden="1" outlineLevel="1">
      <c r="A92" s="274">
        <f>IF(B92&lt;&gt;"",SUBTOTAL(103,$D$7:$D92),"")</f>
      </c>
      <c r="B92" s="220">
        <f>IF(C92&lt;&gt;"",SUBTOTAL(103,$C$81:$C92),"")</f>
      </c>
      <c r="C92" s="221"/>
      <c r="D92" s="47"/>
      <c r="E92" s="42"/>
      <c r="F92" s="42"/>
      <c r="G92" s="42"/>
      <c r="H92" s="42"/>
      <c r="I92" s="42"/>
      <c r="J92" s="45"/>
      <c r="K92" s="127"/>
      <c r="L92" s="45">
        <v>42005</v>
      </c>
      <c r="M92" s="45">
        <v>42461</v>
      </c>
      <c r="N92" s="128">
        <f t="shared" si="2"/>
        <v>16</v>
      </c>
      <c r="O92" s="137">
        <v>1150000</v>
      </c>
      <c r="P92" s="129">
        <f aca="true" t="shared" si="3" ref="P92:P97">Q92+R92+S92</f>
        <v>27600000</v>
      </c>
      <c r="Q92" s="129">
        <f>N92*O92*1.5</f>
        <v>27600000</v>
      </c>
      <c r="R92" s="129"/>
      <c r="S92" s="129">
        <v>0</v>
      </c>
      <c r="T92" s="255"/>
      <c r="U92" s="222"/>
    </row>
    <row r="93" spans="1:21" s="204" customFormat="1" ht="27" customHeight="1" hidden="1" outlineLevel="1">
      <c r="A93" s="274">
        <f>IF(B93&lt;&gt;"",SUBTOTAL(103,$D$7:$D93),"")</f>
      </c>
      <c r="B93" s="220">
        <f>IF(C93&lt;&gt;"",SUBTOTAL(103,$C$81:$C93),"")</f>
      </c>
      <c r="C93" s="221"/>
      <c r="D93" s="47"/>
      <c r="E93" s="42"/>
      <c r="F93" s="42"/>
      <c r="G93" s="42"/>
      <c r="H93" s="42"/>
      <c r="I93" s="42"/>
      <c r="J93" s="45"/>
      <c r="K93" s="127"/>
      <c r="L93" s="45">
        <v>42491</v>
      </c>
      <c r="M93" s="45">
        <v>42583</v>
      </c>
      <c r="N93" s="128">
        <f t="shared" si="2"/>
        <v>4</v>
      </c>
      <c r="O93" s="137">
        <v>1210000</v>
      </c>
      <c r="P93" s="129">
        <f t="shared" si="3"/>
        <v>7260000</v>
      </c>
      <c r="Q93" s="129">
        <f>N93*O93*1.5</f>
        <v>7260000</v>
      </c>
      <c r="R93" s="129"/>
      <c r="S93" s="129">
        <v>0</v>
      </c>
      <c r="T93" s="255"/>
      <c r="U93" s="222"/>
    </row>
    <row r="94" spans="1:21" s="204" customFormat="1" ht="27" customHeight="1" collapsed="1">
      <c r="A94" s="274">
        <f>IF(B94&lt;&gt;"",SUBTOTAL(103,$D$7:$D94),"")</f>
        <v>42</v>
      </c>
      <c r="B94" s="220">
        <f>IF(C94&lt;&gt;"",SUBTOTAL(103,$C$81:$C94),"")</f>
        <v>6</v>
      </c>
      <c r="C94" s="221" t="s">
        <v>1576</v>
      </c>
      <c r="D94" s="47" t="s">
        <v>1577</v>
      </c>
      <c r="E94" s="42" t="s">
        <v>1574</v>
      </c>
      <c r="F94" s="42" t="s">
        <v>1578</v>
      </c>
      <c r="G94" s="42" t="s">
        <v>1198</v>
      </c>
      <c r="H94" s="42" t="s">
        <v>1579</v>
      </c>
      <c r="I94" s="42" t="s">
        <v>1580</v>
      </c>
      <c r="J94" s="45">
        <v>42005</v>
      </c>
      <c r="K94" s="127">
        <v>0</v>
      </c>
      <c r="L94" s="45">
        <v>42005</v>
      </c>
      <c r="M94" s="45">
        <v>42583</v>
      </c>
      <c r="N94" s="128">
        <f t="shared" si="2"/>
        <v>20</v>
      </c>
      <c r="O94" s="137"/>
      <c r="P94" s="129">
        <f t="shared" si="3"/>
        <v>51360000</v>
      </c>
      <c r="Q94" s="129">
        <f>SUM(Q95:Q96)</f>
        <v>34860000</v>
      </c>
      <c r="R94" s="129">
        <f>8250000+8250000</f>
        <v>16500000</v>
      </c>
      <c r="S94" s="129">
        <v>0</v>
      </c>
      <c r="T94" s="255" t="s">
        <v>1999</v>
      </c>
      <c r="U94" s="240">
        <v>42656</v>
      </c>
    </row>
    <row r="95" spans="1:21" s="204" customFormat="1" ht="27" customHeight="1" hidden="1" outlineLevel="1">
      <c r="A95" s="274">
        <f>IF(B95&lt;&gt;"",SUBTOTAL(103,$D$7:$D95),"")</f>
      </c>
      <c r="B95" s="220">
        <f>IF(C95&lt;&gt;"",SUBTOTAL(103,$C$81:$C95),"")</f>
      </c>
      <c r="C95" s="221"/>
      <c r="D95" s="47"/>
      <c r="E95" s="42"/>
      <c r="F95" s="42"/>
      <c r="G95" s="42"/>
      <c r="H95" s="42"/>
      <c r="I95" s="42"/>
      <c r="J95" s="45"/>
      <c r="K95" s="127"/>
      <c r="L95" s="45">
        <v>42005</v>
      </c>
      <c r="M95" s="45">
        <v>42461</v>
      </c>
      <c r="N95" s="128">
        <f t="shared" si="2"/>
        <v>16</v>
      </c>
      <c r="O95" s="137">
        <v>1150000</v>
      </c>
      <c r="P95" s="129">
        <f t="shared" si="3"/>
        <v>27600000</v>
      </c>
      <c r="Q95" s="129">
        <f>N95*O95*1.5</f>
        <v>27600000</v>
      </c>
      <c r="R95" s="129"/>
      <c r="S95" s="129">
        <v>0</v>
      </c>
      <c r="T95" s="255"/>
      <c r="U95" s="222"/>
    </row>
    <row r="96" spans="1:21" s="204" customFormat="1" ht="27" customHeight="1" hidden="1" outlineLevel="1">
      <c r="A96" s="274">
        <f>IF(B96&lt;&gt;"",SUBTOTAL(103,$D$7:$D96),"")</f>
      </c>
      <c r="B96" s="220">
        <f>IF(C96&lt;&gt;"",SUBTOTAL(103,$C$81:$C96),"")</f>
      </c>
      <c r="C96" s="221"/>
      <c r="D96" s="47"/>
      <c r="E96" s="42"/>
      <c r="F96" s="42"/>
      <c r="G96" s="42"/>
      <c r="H96" s="42"/>
      <c r="I96" s="42"/>
      <c r="J96" s="45"/>
      <c r="K96" s="127"/>
      <c r="L96" s="45">
        <v>42491</v>
      </c>
      <c r="M96" s="45">
        <v>42583</v>
      </c>
      <c r="N96" s="128">
        <f t="shared" si="2"/>
        <v>4</v>
      </c>
      <c r="O96" s="137">
        <v>1210000</v>
      </c>
      <c r="P96" s="129">
        <f t="shared" si="3"/>
        <v>7260000</v>
      </c>
      <c r="Q96" s="129">
        <f>N96*O96*1.5</f>
        <v>7260000</v>
      </c>
      <c r="R96" s="129"/>
      <c r="S96" s="129">
        <v>0</v>
      </c>
      <c r="T96" s="255"/>
      <c r="U96" s="222"/>
    </row>
    <row r="97" spans="1:21" s="204" customFormat="1" ht="27" customHeight="1" collapsed="1">
      <c r="A97" s="274">
        <f>IF(B97&lt;&gt;"",SUBTOTAL(103,$D$7:$D97),"")</f>
        <v>43</v>
      </c>
      <c r="B97" s="220">
        <f>IF(C97&lt;&gt;"",SUBTOTAL(103,$C$81:$C97),"")</f>
        <v>7</v>
      </c>
      <c r="C97" s="221" t="s">
        <v>976</v>
      </c>
      <c r="D97" s="47" t="s">
        <v>977</v>
      </c>
      <c r="E97" s="42" t="s">
        <v>2145</v>
      </c>
      <c r="F97" s="42" t="s">
        <v>978</v>
      </c>
      <c r="G97" s="42" t="s">
        <v>341</v>
      </c>
      <c r="H97" s="42" t="s">
        <v>979</v>
      </c>
      <c r="I97" s="42" t="s">
        <v>980</v>
      </c>
      <c r="J97" s="45">
        <v>41640</v>
      </c>
      <c r="K97" s="128">
        <v>20</v>
      </c>
      <c r="L97" s="45">
        <v>42370</v>
      </c>
      <c r="M97" s="45">
        <v>42644</v>
      </c>
      <c r="N97" s="128">
        <f t="shared" si="2"/>
        <v>10</v>
      </c>
      <c r="O97" s="217"/>
      <c r="P97" s="129">
        <f t="shared" si="3"/>
        <v>35790000</v>
      </c>
      <c r="Q97" s="129">
        <f>SUM(Q98:Q99)</f>
        <v>17790000</v>
      </c>
      <c r="R97" s="129">
        <v>18000000</v>
      </c>
      <c r="S97" s="129">
        <v>0</v>
      </c>
      <c r="T97" s="255" t="s">
        <v>1386</v>
      </c>
      <c r="U97" s="240">
        <v>42656</v>
      </c>
    </row>
    <row r="98" spans="1:21" s="204" customFormat="1" ht="27" customHeight="1" hidden="1" outlineLevel="1">
      <c r="A98" s="274">
        <f>IF(B98&lt;&gt;"",SUBTOTAL(103,$D$7:$D98),"")</f>
      </c>
      <c r="B98" s="220">
        <f>IF(C98&lt;&gt;"",SUBTOTAL(103,$C$81:$C98),"")</f>
      </c>
      <c r="C98" s="221"/>
      <c r="D98" s="47"/>
      <c r="E98" s="42"/>
      <c r="F98" s="42"/>
      <c r="G98" s="42"/>
      <c r="H98" s="42"/>
      <c r="I98" s="42"/>
      <c r="J98" s="45"/>
      <c r="K98" s="128"/>
      <c r="L98" s="45">
        <v>42370</v>
      </c>
      <c r="M98" s="45">
        <v>42461</v>
      </c>
      <c r="N98" s="128">
        <f t="shared" si="2"/>
        <v>4</v>
      </c>
      <c r="O98" s="137">
        <v>1150000</v>
      </c>
      <c r="P98" s="129"/>
      <c r="Q98" s="129">
        <f>N98*O98*1.5</f>
        <v>6900000</v>
      </c>
      <c r="R98" s="129"/>
      <c r="S98" s="129"/>
      <c r="T98" s="255"/>
      <c r="U98" s="222"/>
    </row>
    <row r="99" spans="1:21" s="204" customFormat="1" ht="27" customHeight="1" hidden="1" outlineLevel="1">
      <c r="A99" s="274">
        <f>IF(B99&lt;&gt;"",SUBTOTAL(103,$D$7:$D99),"")</f>
      </c>
      <c r="B99" s="220">
        <f>IF(C99&lt;&gt;"",SUBTOTAL(103,$C$81:$C99),"")</f>
      </c>
      <c r="C99" s="221"/>
      <c r="D99" s="47"/>
      <c r="E99" s="42"/>
      <c r="F99" s="42"/>
      <c r="G99" s="42"/>
      <c r="H99" s="42"/>
      <c r="I99" s="42"/>
      <c r="J99" s="45"/>
      <c r="K99" s="128"/>
      <c r="L99" s="45">
        <v>42491</v>
      </c>
      <c r="M99" s="45">
        <v>42644</v>
      </c>
      <c r="N99" s="128">
        <f t="shared" si="2"/>
        <v>6</v>
      </c>
      <c r="O99" s="137">
        <v>1210000</v>
      </c>
      <c r="P99" s="129"/>
      <c r="Q99" s="129">
        <f>N99*O99*1.5</f>
        <v>10890000</v>
      </c>
      <c r="R99" s="129"/>
      <c r="S99" s="129"/>
      <c r="T99" s="255"/>
      <c r="U99" s="222"/>
    </row>
    <row r="100" spans="1:21" s="204" customFormat="1" ht="27" customHeight="1" collapsed="1">
      <c r="A100" s="274">
        <f>IF(B100&lt;&gt;"",SUBTOTAL(103,$D$7:$D100),"")</f>
        <v>44</v>
      </c>
      <c r="B100" s="220">
        <f>IF(C100&lt;&gt;"",SUBTOTAL(103,$C$81:$C100),"")</f>
        <v>8</v>
      </c>
      <c r="C100" s="221" t="s">
        <v>1712</v>
      </c>
      <c r="D100" s="47" t="s">
        <v>1713</v>
      </c>
      <c r="E100" s="42" t="s">
        <v>1714</v>
      </c>
      <c r="F100" s="42" t="s">
        <v>1715</v>
      </c>
      <c r="G100" s="42" t="s">
        <v>1198</v>
      </c>
      <c r="H100" s="42" t="s">
        <v>377</v>
      </c>
      <c r="I100" s="42" t="s">
        <v>1289</v>
      </c>
      <c r="J100" s="45">
        <v>42005</v>
      </c>
      <c r="K100" s="128">
        <v>0</v>
      </c>
      <c r="L100" s="45">
        <v>42005</v>
      </c>
      <c r="M100" s="45">
        <v>42583</v>
      </c>
      <c r="N100" s="128">
        <f t="shared" si="2"/>
        <v>20</v>
      </c>
      <c r="O100" s="137">
        <v>1210000</v>
      </c>
      <c r="P100" s="129">
        <f>Q100+R100+S100</f>
        <v>88710000</v>
      </c>
      <c r="Q100" s="129">
        <f>SUM(Q101:Q102)</f>
        <v>34860000</v>
      </c>
      <c r="R100" s="129">
        <f>8250000+9300000</f>
        <v>17550000</v>
      </c>
      <c r="S100" s="129">
        <f>30*O100</f>
        <v>36300000</v>
      </c>
      <c r="T100" s="255" t="s">
        <v>2000</v>
      </c>
      <c r="U100" s="240">
        <v>42660</v>
      </c>
    </row>
    <row r="101" spans="1:21" s="204" customFormat="1" ht="27" customHeight="1" hidden="1" outlineLevel="1">
      <c r="A101" s="274">
        <f>IF(B101&lt;&gt;"",SUBTOTAL(103,$D$7:$D101),"")</f>
      </c>
      <c r="B101" s="220">
        <f>IF(C101&lt;&gt;"",SUBTOTAL(103,$C$81:$C101),"")</f>
      </c>
      <c r="C101" s="221"/>
      <c r="D101" s="292"/>
      <c r="E101" s="42"/>
      <c r="F101" s="42"/>
      <c r="G101" s="42"/>
      <c r="H101" s="42"/>
      <c r="I101" s="42"/>
      <c r="J101" s="45"/>
      <c r="K101" s="128"/>
      <c r="L101" s="45">
        <v>42005</v>
      </c>
      <c r="M101" s="45">
        <v>42461</v>
      </c>
      <c r="N101" s="128">
        <f t="shared" si="2"/>
        <v>16</v>
      </c>
      <c r="O101" s="137">
        <v>1150000</v>
      </c>
      <c r="P101" s="129"/>
      <c r="Q101" s="129">
        <f>N101*O101*1.5</f>
        <v>27600000</v>
      </c>
      <c r="R101" s="129"/>
      <c r="S101" s="129"/>
      <c r="T101" s="255"/>
      <c r="U101" s="222"/>
    </row>
    <row r="102" spans="1:21" s="204" customFormat="1" ht="27" customHeight="1" hidden="1" outlineLevel="1">
      <c r="A102" s="274">
        <f>IF(B102&lt;&gt;"",SUBTOTAL(103,$D$7:$D102),"")</f>
      </c>
      <c r="B102" s="220">
        <f>IF(C102&lt;&gt;"",SUBTOTAL(103,$C$81:$C102),"")</f>
      </c>
      <c r="C102" s="221"/>
      <c r="D102" s="292"/>
      <c r="E102" s="42"/>
      <c r="F102" s="42"/>
      <c r="G102" s="42"/>
      <c r="H102" s="42"/>
      <c r="I102" s="42"/>
      <c r="J102" s="45"/>
      <c r="K102" s="128"/>
      <c r="L102" s="45">
        <v>42491</v>
      </c>
      <c r="M102" s="45">
        <v>42583</v>
      </c>
      <c r="N102" s="128">
        <f t="shared" si="2"/>
        <v>4</v>
      </c>
      <c r="O102" s="137">
        <v>1210000</v>
      </c>
      <c r="P102" s="129"/>
      <c r="Q102" s="129">
        <f>N102*O102*1.5</f>
        <v>7260000</v>
      </c>
      <c r="R102" s="129"/>
      <c r="S102" s="129"/>
      <c r="T102" s="255"/>
      <c r="U102" s="222"/>
    </row>
    <row r="103" spans="1:21" s="204" customFormat="1" ht="27" customHeight="1" collapsed="1">
      <c r="A103" s="274">
        <f>IF(B103&lt;&gt;"",SUBTOTAL(103,$D$7:$D103),"")</f>
        <v>45</v>
      </c>
      <c r="B103" s="220">
        <f>IF(C103&lt;&gt;"",SUBTOTAL(103,$C$81:$C103),"")</f>
        <v>9</v>
      </c>
      <c r="C103" s="221" t="s">
        <v>1716</v>
      </c>
      <c r="D103" s="292" t="s">
        <v>1717</v>
      </c>
      <c r="E103" s="42" t="s">
        <v>1718</v>
      </c>
      <c r="F103" s="42" t="s">
        <v>1719</v>
      </c>
      <c r="G103" s="42" t="s">
        <v>1720</v>
      </c>
      <c r="H103" s="42" t="s">
        <v>1971</v>
      </c>
      <c r="I103" s="42" t="s">
        <v>252</v>
      </c>
      <c r="J103" s="45">
        <v>42005</v>
      </c>
      <c r="K103" s="128">
        <v>0</v>
      </c>
      <c r="L103" s="45">
        <v>42005</v>
      </c>
      <c r="M103" s="45">
        <v>42583</v>
      </c>
      <c r="N103" s="128">
        <f t="shared" si="2"/>
        <v>20</v>
      </c>
      <c r="O103" s="137"/>
      <c r="P103" s="129">
        <f>Q103+R103+S103</f>
        <v>78886000</v>
      </c>
      <c r="Q103" s="129">
        <f>SUM(Q104:Q105)</f>
        <v>34860000</v>
      </c>
      <c r="R103" s="129">
        <f>16250000+18000000+9776000</f>
        <v>44026000</v>
      </c>
      <c r="S103" s="129">
        <v>0</v>
      </c>
      <c r="T103" s="255" t="s">
        <v>1721</v>
      </c>
      <c r="U103" s="240">
        <v>42660</v>
      </c>
    </row>
    <row r="104" spans="1:21" s="204" customFormat="1" ht="27" customHeight="1" hidden="1" outlineLevel="1">
      <c r="A104" s="274">
        <f>IF(B104&lt;&gt;"",SUBTOTAL(103,$D$7:$D104),"")</f>
      </c>
      <c r="B104" s="220">
        <f>IF(C104&lt;&gt;"",SUBTOTAL(103,$C$81:$C104),"")</f>
      </c>
      <c r="C104" s="221"/>
      <c r="D104" s="292"/>
      <c r="E104" s="42"/>
      <c r="F104" s="42"/>
      <c r="G104" s="42"/>
      <c r="H104" s="42"/>
      <c r="I104" s="42"/>
      <c r="J104" s="45"/>
      <c r="K104" s="128"/>
      <c r="L104" s="45">
        <v>42005</v>
      </c>
      <c r="M104" s="45">
        <v>42461</v>
      </c>
      <c r="N104" s="128">
        <f t="shared" si="2"/>
        <v>16</v>
      </c>
      <c r="O104" s="137">
        <v>1150000</v>
      </c>
      <c r="P104" s="129"/>
      <c r="Q104" s="129">
        <f>N104*O104*1.5</f>
        <v>27600000</v>
      </c>
      <c r="R104" s="129"/>
      <c r="S104" s="129"/>
      <c r="T104" s="255"/>
      <c r="U104" s="222"/>
    </row>
    <row r="105" spans="1:21" s="204" customFormat="1" ht="27" customHeight="1" hidden="1" outlineLevel="1">
      <c r="A105" s="274">
        <f>IF(B105&lt;&gt;"",SUBTOTAL(103,$D$7:$D105),"")</f>
      </c>
      <c r="B105" s="220">
        <f>IF(C105&lt;&gt;"",SUBTOTAL(103,$C$81:$C105),"")</f>
      </c>
      <c r="C105" s="221"/>
      <c r="D105" s="292"/>
      <c r="E105" s="42"/>
      <c r="F105" s="42"/>
      <c r="G105" s="42"/>
      <c r="H105" s="42"/>
      <c r="I105" s="42"/>
      <c r="J105" s="45"/>
      <c r="K105" s="128"/>
      <c r="L105" s="45">
        <v>42491</v>
      </c>
      <c r="M105" s="45">
        <v>42583</v>
      </c>
      <c r="N105" s="128">
        <f t="shared" si="2"/>
        <v>4</v>
      </c>
      <c r="O105" s="137">
        <v>1210000</v>
      </c>
      <c r="P105" s="129"/>
      <c r="Q105" s="129">
        <f>N105*O105*1.5</f>
        <v>7260000</v>
      </c>
      <c r="R105" s="129"/>
      <c r="S105" s="129"/>
      <c r="T105" s="255"/>
      <c r="U105" s="222"/>
    </row>
    <row r="106" spans="1:21" s="204" customFormat="1" ht="27" customHeight="1" collapsed="1">
      <c r="A106" s="274">
        <f>IF(B106&lt;&gt;"",SUBTOTAL(103,$D$7:$D106),"")</f>
        <v>46</v>
      </c>
      <c r="B106" s="220">
        <f>IF(C106&lt;&gt;"",SUBTOTAL(103,$C$81:$C106),"")</f>
        <v>10</v>
      </c>
      <c r="C106" s="221" t="s">
        <v>1601</v>
      </c>
      <c r="D106" s="47" t="s">
        <v>1762</v>
      </c>
      <c r="E106" s="42" t="s">
        <v>1602</v>
      </c>
      <c r="F106" s="42" t="s">
        <v>1763</v>
      </c>
      <c r="G106" s="42" t="s">
        <v>1198</v>
      </c>
      <c r="H106" s="42" t="s">
        <v>1764</v>
      </c>
      <c r="I106" s="42" t="s">
        <v>1289</v>
      </c>
      <c r="J106" s="45">
        <v>41640</v>
      </c>
      <c r="K106" s="128">
        <v>0</v>
      </c>
      <c r="L106" s="45">
        <v>41640</v>
      </c>
      <c r="M106" s="45">
        <v>42217</v>
      </c>
      <c r="N106" s="128">
        <f t="shared" si="2"/>
        <v>20</v>
      </c>
      <c r="O106" s="137">
        <v>1150000</v>
      </c>
      <c r="P106" s="129">
        <f>Q106+R106+S106</f>
        <v>84525000</v>
      </c>
      <c r="Q106" s="129">
        <f>N106*O106*1.5</f>
        <v>34500000</v>
      </c>
      <c r="R106" s="129">
        <f>7275000+8250000</f>
        <v>15525000</v>
      </c>
      <c r="S106" s="129">
        <f>30*O106</f>
        <v>34500000</v>
      </c>
      <c r="T106" s="255" t="s">
        <v>2001</v>
      </c>
      <c r="U106" s="240">
        <v>42661</v>
      </c>
    </row>
    <row r="107" spans="1:21" s="204" customFormat="1" ht="27" customHeight="1" collapsed="1">
      <c r="A107" s="274">
        <f>IF(B107&lt;&gt;"",SUBTOTAL(103,$D$7:$D107),"")</f>
        <v>47</v>
      </c>
      <c r="B107" s="220">
        <f>IF(C107&lt;&gt;"",SUBTOTAL(103,$C$81:$C107),"")</f>
        <v>11</v>
      </c>
      <c r="C107" s="221" t="s">
        <v>1603</v>
      </c>
      <c r="D107" s="47" t="s">
        <v>1765</v>
      </c>
      <c r="E107" s="42" t="s">
        <v>1604</v>
      </c>
      <c r="F107" s="42" t="s">
        <v>1766</v>
      </c>
      <c r="G107" s="42" t="s">
        <v>1198</v>
      </c>
      <c r="H107" s="42" t="s">
        <v>1764</v>
      </c>
      <c r="I107" s="42" t="s">
        <v>1289</v>
      </c>
      <c r="J107" s="45">
        <v>41640</v>
      </c>
      <c r="K107" s="128">
        <v>0</v>
      </c>
      <c r="L107" s="45">
        <v>41640</v>
      </c>
      <c r="M107" s="45">
        <v>42217</v>
      </c>
      <c r="N107" s="128">
        <f t="shared" si="2"/>
        <v>20</v>
      </c>
      <c r="O107" s="137">
        <v>1150000</v>
      </c>
      <c r="P107" s="129">
        <f>Q107+R107+S107</f>
        <v>84525000</v>
      </c>
      <c r="Q107" s="129">
        <f>N107*O107*1.5</f>
        <v>34500000</v>
      </c>
      <c r="R107" s="129">
        <f>7275000+8250000</f>
        <v>15525000</v>
      </c>
      <c r="S107" s="129">
        <f>30*O107</f>
        <v>34500000</v>
      </c>
      <c r="T107" s="255" t="s">
        <v>2001</v>
      </c>
      <c r="U107" s="240">
        <v>42661</v>
      </c>
    </row>
    <row r="108" spans="1:21" s="204" customFormat="1" ht="27" customHeight="1" collapsed="1">
      <c r="A108" s="274">
        <f>IF(B108&lt;&gt;"",SUBTOTAL(103,$D$7:$D108),"")</f>
        <v>48</v>
      </c>
      <c r="B108" s="220">
        <f>IF(C108&lt;&gt;"",SUBTOTAL(103,$C$81:$C108),"")</f>
        <v>12</v>
      </c>
      <c r="C108" s="221" t="s">
        <v>467</v>
      </c>
      <c r="D108" s="47" t="s">
        <v>1767</v>
      </c>
      <c r="E108" s="42" t="s">
        <v>1605</v>
      </c>
      <c r="F108" s="42" t="s">
        <v>1768</v>
      </c>
      <c r="G108" s="42" t="s">
        <v>1198</v>
      </c>
      <c r="H108" s="42" t="s">
        <v>1769</v>
      </c>
      <c r="I108" s="42" t="s">
        <v>252</v>
      </c>
      <c r="J108" s="45">
        <v>42005</v>
      </c>
      <c r="K108" s="128">
        <v>0</v>
      </c>
      <c r="L108" s="45">
        <v>42005</v>
      </c>
      <c r="M108" s="45">
        <v>42583</v>
      </c>
      <c r="N108" s="128">
        <f t="shared" si="2"/>
        <v>20</v>
      </c>
      <c r="O108" s="137"/>
      <c r="P108" s="129">
        <f>Q108+R108+S108</f>
        <v>57155000</v>
      </c>
      <c r="Q108" s="129">
        <f>SUM(Q109:Q110)</f>
        <v>34860000</v>
      </c>
      <c r="R108" s="129">
        <f>11025000+9750000+420000+1100000</f>
        <v>22295000</v>
      </c>
      <c r="S108" s="129">
        <v>0</v>
      </c>
      <c r="T108" s="255" t="s">
        <v>1770</v>
      </c>
      <c r="U108" s="240">
        <v>42661</v>
      </c>
    </row>
    <row r="109" spans="1:21" s="204" customFormat="1" ht="27" customHeight="1" hidden="1" outlineLevel="1">
      <c r="A109" s="274">
        <f>IF(B109&lt;&gt;"",SUBTOTAL(103,$D$7:$D109),"")</f>
      </c>
      <c r="B109" s="220">
        <f>IF(C109&lt;&gt;"",SUBTOTAL(103,$C$81:$C109),"")</f>
      </c>
      <c r="C109" s="221"/>
      <c r="D109" s="47"/>
      <c r="E109" s="42"/>
      <c r="F109" s="42"/>
      <c r="G109" s="42"/>
      <c r="H109" s="42"/>
      <c r="I109" s="42"/>
      <c r="J109" s="45"/>
      <c r="K109" s="128"/>
      <c r="L109" s="45">
        <v>42005</v>
      </c>
      <c r="M109" s="45">
        <v>42461</v>
      </c>
      <c r="N109" s="128">
        <f t="shared" si="2"/>
        <v>16</v>
      </c>
      <c r="O109" s="137">
        <v>1150000</v>
      </c>
      <c r="P109" s="129"/>
      <c r="Q109" s="129">
        <f>N109*O109*1.5</f>
        <v>27600000</v>
      </c>
      <c r="R109" s="129"/>
      <c r="S109" s="129"/>
      <c r="T109" s="255"/>
      <c r="U109" s="222"/>
    </row>
    <row r="110" spans="1:21" s="204" customFormat="1" ht="27" customHeight="1" hidden="1" outlineLevel="1">
      <c r="A110" s="274">
        <f>IF(B110&lt;&gt;"",SUBTOTAL(103,$D$7:$D110),"")</f>
      </c>
      <c r="B110" s="220">
        <f>IF(C110&lt;&gt;"",SUBTOTAL(103,$C$81:$C110),"")</f>
      </c>
      <c r="C110" s="221"/>
      <c r="D110" s="47"/>
      <c r="E110" s="42"/>
      <c r="F110" s="42"/>
      <c r="G110" s="42"/>
      <c r="H110" s="42"/>
      <c r="I110" s="42"/>
      <c r="J110" s="45"/>
      <c r="K110" s="128"/>
      <c r="L110" s="45">
        <v>42491</v>
      </c>
      <c r="M110" s="45">
        <v>42583</v>
      </c>
      <c r="N110" s="128">
        <f t="shared" si="2"/>
        <v>4</v>
      </c>
      <c r="O110" s="137">
        <v>1210000</v>
      </c>
      <c r="P110" s="129"/>
      <c r="Q110" s="129">
        <f>N110*O110*1.5</f>
        <v>7260000</v>
      </c>
      <c r="R110" s="129"/>
      <c r="S110" s="129"/>
      <c r="T110" s="255"/>
      <c r="U110" s="222"/>
    </row>
    <row r="111" spans="1:21" s="204" customFormat="1" ht="27" customHeight="1" collapsed="1">
      <c r="A111" s="274">
        <f>IF(B111&lt;&gt;"",SUBTOTAL(103,$D$7:$D111),"")</f>
        <v>49</v>
      </c>
      <c r="B111" s="220">
        <f>IF(C111&lt;&gt;"",SUBTOTAL(103,$C$81:$C111),"")</f>
        <v>13</v>
      </c>
      <c r="C111" s="221" t="s">
        <v>1606</v>
      </c>
      <c r="D111" s="47" t="s">
        <v>367</v>
      </c>
      <c r="E111" s="42" t="s">
        <v>1605</v>
      </c>
      <c r="F111" s="42" t="s">
        <v>1771</v>
      </c>
      <c r="G111" s="42" t="s">
        <v>1198</v>
      </c>
      <c r="H111" s="42" t="s">
        <v>1769</v>
      </c>
      <c r="I111" s="42" t="s">
        <v>252</v>
      </c>
      <c r="J111" s="45">
        <v>42005</v>
      </c>
      <c r="K111" s="128">
        <v>0</v>
      </c>
      <c r="L111" s="45">
        <v>42005</v>
      </c>
      <c r="M111" s="45">
        <v>42583</v>
      </c>
      <c r="N111" s="128">
        <f t="shared" si="2"/>
        <v>20</v>
      </c>
      <c r="O111" s="137"/>
      <c r="P111" s="129">
        <f>Q111+R111+S111</f>
        <v>55635000</v>
      </c>
      <c r="Q111" s="129">
        <f>SUM(Q112:Q113)</f>
        <v>34860000</v>
      </c>
      <c r="R111" s="129">
        <f>11025000+9750000</f>
        <v>20775000</v>
      </c>
      <c r="S111" s="129">
        <v>0</v>
      </c>
      <c r="T111" s="255" t="s">
        <v>1772</v>
      </c>
      <c r="U111" s="240">
        <v>42661</v>
      </c>
    </row>
    <row r="112" spans="1:21" s="204" customFormat="1" ht="27" customHeight="1" hidden="1" outlineLevel="1">
      <c r="A112" s="274">
        <f>IF(B112&lt;&gt;"",SUBTOTAL(103,$D$7:$D112),"")</f>
      </c>
      <c r="B112" s="220">
        <f>IF(C112&lt;&gt;"",SUBTOTAL(103,$C$81:$C112),"")</f>
      </c>
      <c r="C112" s="221"/>
      <c r="D112" s="47"/>
      <c r="E112" s="42"/>
      <c r="F112" s="42"/>
      <c r="G112" s="42"/>
      <c r="H112" s="42"/>
      <c r="I112" s="42"/>
      <c r="J112" s="45"/>
      <c r="K112" s="128"/>
      <c r="L112" s="45">
        <v>42005</v>
      </c>
      <c r="M112" s="45">
        <v>42461</v>
      </c>
      <c r="N112" s="128">
        <f t="shared" si="2"/>
        <v>16</v>
      </c>
      <c r="O112" s="137">
        <v>1150000</v>
      </c>
      <c r="P112" s="129"/>
      <c r="Q112" s="129">
        <f>N112*O112*1.5</f>
        <v>27600000</v>
      </c>
      <c r="R112" s="129"/>
      <c r="S112" s="129"/>
      <c r="T112" s="255"/>
      <c r="U112" s="222"/>
    </row>
    <row r="113" spans="1:21" s="204" customFormat="1" ht="27" customHeight="1" hidden="1" outlineLevel="1">
      <c r="A113" s="274">
        <f>IF(B113&lt;&gt;"",SUBTOTAL(103,$D$7:$D113),"")</f>
      </c>
      <c r="B113" s="220">
        <f>IF(C113&lt;&gt;"",SUBTOTAL(103,$C$81:$C113),"")</f>
      </c>
      <c r="C113" s="221"/>
      <c r="D113" s="47"/>
      <c r="E113" s="42"/>
      <c r="F113" s="42"/>
      <c r="G113" s="42"/>
      <c r="H113" s="42"/>
      <c r="I113" s="42"/>
      <c r="J113" s="45"/>
      <c r="K113" s="128"/>
      <c r="L113" s="45">
        <v>42491</v>
      </c>
      <c r="M113" s="45">
        <v>42583</v>
      </c>
      <c r="N113" s="128">
        <f t="shared" si="2"/>
        <v>4</v>
      </c>
      <c r="O113" s="137">
        <v>1210000</v>
      </c>
      <c r="P113" s="129"/>
      <c r="Q113" s="129">
        <f>N113*O113*1.5</f>
        <v>7260000</v>
      </c>
      <c r="R113" s="129"/>
      <c r="S113" s="129"/>
      <c r="T113" s="255"/>
      <c r="U113" s="222"/>
    </row>
    <row r="114" spans="1:21" s="204" customFormat="1" ht="27" customHeight="1" collapsed="1">
      <c r="A114" s="274">
        <f>IF(B114&lt;&gt;"",SUBTOTAL(103,$D$7:$D114),"")</f>
        <v>50</v>
      </c>
      <c r="B114" s="220">
        <f>IF(C114&lt;&gt;"",SUBTOTAL(103,$C$81:$C114),"")</f>
        <v>14</v>
      </c>
      <c r="C114" s="221" t="s">
        <v>1607</v>
      </c>
      <c r="D114" s="47" t="s">
        <v>1773</v>
      </c>
      <c r="E114" s="42" t="s">
        <v>1608</v>
      </c>
      <c r="F114" s="42" t="s">
        <v>1774</v>
      </c>
      <c r="G114" s="42" t="s">
        <v>1198</v>
      </c>
      <c r="H114" s="42" t="s">
        <v>1563</v>
      </c>
      <c r="I114" s="42" t="s">
        <v>1775</v>
      </c>
      <c r="J114" s="45">
        <v>42005</v>
      </c>
      <c r="K114" s="128">
        <v>0</v>
      </c>
      <c r="L114" s="45">
        <v>42005</v>
      </c>
      <c r="M114" s="45">
        <v>42583</v>
      </c>
      <c r="N114" s="128">
        <f t="shared" si="2"/>
        <v>20</v>
      </c>
      <c r="O114" s="137"/>
      <c r="P114" s="129">
        <f>Q114+R114+S114</f>
        <v>56055000</v>
      </c>
      <c r="Q114" s="129">
        <f>SUM(Q115:Q116)</f>
        <v>34860000</v>
      </c>
      <c r="R114" s="129">
        <f>11025000+9750000+420000</f>
        <v>21195000</v>
      </c>
      <c r="S114" s="222">
        <v>0</v>
      </c>
      <c r="T114" s="255" t="s">
        <v>1776</v>
      </c>
      <c r="U114" s="240">
        <v>42661</v>
      </c>
    </row>
    <row r="115" spans="1:21" s="204" customFormat="1" ht="27" customHeight="1" hidden="1" outlineLevel="1">
      <c r="A115" s="274">
        <f>IF(B115&lt;&gt;"",SUBTOTAL(103,$D$7:$D115),"")</f>
      </c>
      <c r="B115" s="220">
        <f>IF(C115&lt;&gt;"",SUBTOTAL(103,$C$81:$C115),"")</f>
      </c>
      <c r="C115" s="221"/>
      <c r="D115" s="47"/>
      <c r="E115" s="42"/>
      <c r="F115" s="42"/>
      <c r="G115" s="42"/>
      <c r="H115" s="42"/>
      <c r="I115" s="42"/>
      <c r="J115" s="45"/>
      <c r="K115" s="128"/>
      <c r="L115" s="45">
        <v>42005</v>
      </c>
      <c r="M115" s="45">
        <v>42461</v>
      </c>
      <c r="N115" s="128">
        <f t="shared" si="2"/>
        <v>16</v>
      </c>
      <c r="O115" s="137">
        <v>1150000</v>
      </c>
      <c r="P115" s="129"/>
      <c r="Q115" s="129">
        <f aca="true" t="shared" si="4" ref="Q115:Q120">N115*O115*1.5</f>
        <v>27600000</v>
      </c>
      <c r="R115" s="129"/>
      <c r="S115" s="129"/>
      <c r="T115" s="255"/>
      <c r="U115" s="240"/>
    </row>
    <row r="116" spans="1:21" s="204" customFormat="1" ht="27" customHeight="1" hidden="1" outlineLevel="1">
      <c r="A116" s="274">
        <f>IF(B116&lt;&gt;"",SUBTOTAL(103,$D$7:$D116),"")</f>
      </c>
      <c r="B116" s="220">
        <f>IF(C116&lt;&gt;"",SUBTOTAL(103,$C$81:$C116),"")</f>
      </c>
      <c r="C116" s="221"/>
      <c r="D116" s="47"/>
      <c r="E116" s="42"/>
      <c r="F116" s="42"/>
      <c r="G116" s="42"/>
      <c r="H116" s="42"/>
      <c r="I116" s="42"/>
      <c r="J116" s="45"/>
      <c r="K116" s="128"/>
      <c r="L116" s="45">
        <v>42491</v>
      </c>
      <c r="M116" s="45">
        <v>42583</v>
      </c>
      <c r="N116" s="128">
        <f t="shared" si="2"/>
        <v>4</v>
      </c>
      <c r="O116" s="137">
        <v>1210000</v>
      </c>
      <c r="P116" s="129"/>
      <c r="Q116" s="129">
        <f t="shared" si="4"/>
        <v>7260000</v>
      </c>
      <c r="R116" s="129"/>
      <c r="S116" s="129"/>
      <c r="T116" s="255"/>
      <c r="U116" s="240"/>
    </row>
    <row r="117" spans="1:21" s="204" customFormat="1" ht="27" customHeight="1" collapsed="1">
      <c r="A117" s="274">
        <f>IF(B117&lt;&gt;"",SUBTOTAL(103,$D$7:$D117),"")</f>
        <v>51</v>
      </c>
      <c r="B117" s="220">
        <f>IF(C117&lt;&gt;"",SUBTOTAL(103,$C$81:$C117),"")</f>
        <v>15</v>
      </c>
      <c r="C117" s="221" t="s">
        <v>1609</v>
      </c>
      <c r="D117" s="47" t="s">
        <v>1777</v>
      </c>
      <c r="E117" s="42" t="s">
        <v>2146</v>
      </c>
      <c r="F117" s="42" t="s">
        <v>1774</v>
      </c>
      <c r="G117" s="42" t="s">
        <v>1198</v>
      </c>
      <c r="H117" s="42" t="s">
        <v>1778</v>
      </c>
      <c r="I117" s="42" t="s">
        <v>1775</v>
      </c>
      <c r="J117" s="45">
        <v>41640</v>
      </c>
      <c r="K117" s="128">
        <v>0</v>
      </c>
      <c r="L117" s="45">
        <v>41640</v>
      </c>
      <c r="M117" s="45">
        <v>42217</v>
      </c>
      <c r="N117" s="128">
        <f t="shared" si="2"/>
        <v>20</v>
      </c>
      <c r="O117" s="137">
        <v>1150000</v>
      </c>
      <c r="P117" s="129">
        <f>Q117+R117+S117</f>
        <v>84525000</v>
      </c>
      <c r="Q117" s="129">
        <f t="shared" si="4"/>
        <v>34500000</v>
      </c>
      <c r="R117" s="129">
        <f>6800000+8725000</f>
        <v>15525000</v>
      </c>
      <c r="S117" s="129">
        <f>30*O117</f>
        <v>34500000</v>
      </c>
      <c r="T117" s="255" t="s">
        <v>1779</v>
      </c>
      <c r="U117" s="240">
        <v>42661</v>
      </c>
    </row>
    <row r="118" spans="1:21" s="204" customFormat="1" ht="27" customHeight="1">
      <c r="A118" s="274">
        <f>IF(B118&lt;&gt;"",SUBTOTAL(103,$D$7:$D118),"")</f>
        <v>52</v>
      </c>
      <c r="B118" s="220">
        <f>IF(C118&lt;&gt;"",SUBTOTAL(103,$C$81:$C118),"")</f>
        <v>16</v>
      </c>
      <c r="C118" s="221" t="s">
        <v>1610</v>
      </c>
      <c r="D118" s="47" t="s">
        <v>1780</v>
      </c>
      <c r="E118" s="42" t="s">
        <v>1608</v>
      </c>
      <c r="F118" s="42" t="s">
        <v>1782</v>
      </c>
      <c r="G118" s="42" t="s">
        <v>1198</v>
      </c>
      <c r="H118" s="42" t="s">
        <v>1769</v>
      </c>
      <c r="I118" s="42" t="s">
        <v>1775</v>
      </c>
      <c r="J118" s="45">
        <v>41640</v>
      </c>
      <c r="K118" s="128">
        <v>0</v>
      </c>
      <c r="L118" s="45">
        <v>41640</v>
      </c>
      <c r="M118" s="45">
        <v>42217</v>
      </c>
      <c r="N118" s="128">
        <f t="shared" si="2"/>
        <v>20</v>
      </c>
      <c r="O118" s="137">
        <v>1150000</v>
      </c>
      <c r="P118" s="129">
        <f>Q118+R118+S118</f>
        <v>87225000</v>
      </c>
      <c r="Q118" s="129">
        <f t="shared" si="4"/>
        <v>34500000</v>
      </c>
      <c r="R118" s="129">
        <f>9025000+9200000</f>
        <v>18225000</v>
      </c>
      <c r="S118" s="129">
        <f>30*O118</f>
        <v>34500000</v>
      </c>
      <c r="T118" s="255" t="s">
        <v>2002</v>
      </c>
      <c r="U118" s="240">
        <v>42661</v>
      </c>
    </row>
    <row r="119" spans="1:21" s="204" customFormat="1" ht="27" customHeight="1">
      <c r="A119" s="274">
        <f>IF(B119&lt;&gt;"",SUBTOTAL(103,$D$7:$D119),"")</f>
        <v>53</v>
      </c>
      <c r="B119" s="220">
        <f>IF(C119&lt;&gt;"",SUBTOTAL(103,$C$81:$C119),"")</f>
        <v>17</v>
      </c>
      <c r="C119" s="245" t="s">
        <v>1611</v>
      </c>
      <c r="D119" s="47" t="s">
        <v>1784</v>
      </c>
      <c r="E119" s="244" t="s">
        <v>1612</v>
      </c>
      <c r="F119" s="42" t="s">
        <v>1781</v>
      </c>
      <c r="G119" s="42" t="s">
        <v>1198</v>
      </c>
      <c r="H119" s="42" t="s">
        <v>1783</v>
      </c>
      <c r="I119" s="42" t="s">
        <v>1775</v>
      </c>
      <c r="J119" s="45">
        <v>41640</v>
      </c>
      <c r="K119" s="128">
        <v>0</v>
      </c>
      <c r="L119" s="45">
        <v>41640</v>
      </c>
      <c r="M119" s="45">
        <v>42217</v>
      </c>
      <c r="N119" s="128">
        <f t="shared" si="2"/>
        <v>20</v>
      </c>
      <c r="O119" s="137">
        <v>1150000</v>
      </c>
      <c r="P119" s="129">
        <f>Q119+R119+S119</f>
        <v>87225000</v>
      </c>
      <c r="Q119" s="129">
        <f t="shared" si="4"/>
        <v>34500000</v>
      </c>
      <c r="R119" s="129">
        <f>7700000+10525000</f>
        <v>18225000</v>
      </c>
      <c r="S119" s="129">
        <f>30*O119</f>
        <v>34500000</v>
      </c>
      <c r="T119" s="255" t="s">
        <v>2002</v>
      </c>
      <c r="U119" s="240">
        <v>42661</v>
      </c>
    </row>
    <row r="120" spans="1:21" s="204" customFormat="1" ht="27" customHeight="1">
      <c r="A120" s="274">
        <f>IF(B120&lt;&gt;"",SUBTOTAL(103,$D$7:$D120),"")</f>
        <v>54</v>
      </c>
      <c r="B120" s="220">
        <f>IF(C120&lt;&gt;"",SUBTOTAL(103,$C$81:$C120),"")</f>
        <v>18</v>
      </c>
      <c r="C120" s="245" t="s">
        <v>500</v>
      </c>
      <c r="D120" s="47" t="s">
        <v>1785</v>
      </c>
      <c r="E120" s="244" t="s">
        <v>1613</v>
      </c>
      <c r="F120" s="42" t="s">
        <v>1786</v>
      </c>
      <c r="G120" s="42" t="s">
        <v>1198</v>
      </c>
      <c r="H120" s="42" t="s">
        <v>1563</v>
      </c>
      <c r="I120" s="42" t="s">
        <v>1297</v>
      </c>
      <c r="J120" s="45">
        <v>41640</v>
      </c>
      <c r="K120" s="128">
        <v>0</v>
      </c>
      <c r="L120" s="45">
        <v>41640</v>
      </c>
      <c r="M120" s="45">
        <v>42217</v>
      </c>
      <c r="N120" s="128">
        <f t="shared" si="2"/>
        <v>20</v>
      </c>
      <c r="O120" s="137">
        <v>1150000</v>
      </c>
      <c r="P120" s="129">
        <f>Q120+R120+S120</f>
        <v>86325000</v>
      </c>
      <c r="Q120" s="129">
        <f t="shared" si="4"/>
        <v>34500000</v>
      </c>
      <c r="R120" s="129">
        <f>7275000+8250000</f>
        <v>15525000</v>
      </c>
      <c r="S120" s="129">
        <f>30*1210000</f>
        <v>36300000</v>
      </c>
      <c r="T120" s="255" t="s">
        <v>2003</v>
      </c>
      <c r="U120" s="240">
        <v>42661</v>
      </c>
    </row>
    <row r="121" spans="1:21" s="204" customFormat="1" ht="27" customHeight="1">
      <c r="A121" s="274">
        <f>IF(B121&lt;&gt;"",SUBTOTAL(103,$D$7:$D121),"")</f>
        <v>55</v>
      </c>
      <c r="B121" s="220">
        <f>IF(C121&lt;&gt;"",SUBTOTAL(103,$C$81:$C121),"")</f>
        <v>19</v>
      </c>
      <c r="C121" s="245" t="s">
        <v>1614</v>
      </c>
      <c r="D121" s="47" t="s">
        <v>1787</v>
      </c>
      <c r="E121" s="244" t="s">
        <v>1615</v>
      </c>
      <c r="F121" s="42" t="s">
        <v>1788</v>
      </c>
      <c r="G121" s="42" t="s">
        <v>1198</v>
      </c>
      <c r="H121" s="42" t="s">
        <v>1789</v>
      </c>
      <c r="I121" s="42" t="s">
        <v>1285</v>
      </c>
      <c r="J121" s="45">
        <v>42005</v>
      </c>
      <c r="K121" s="128">
        <v>0</v>
      </c>
      <c r="L121" s="45">
        <v>42005</v>
      </c>
      <c r="M121" s="45">
        <v>42583</v>
      </c>
      <c r="N121" s="128">
        <f t="shared" si="2"/>
        <v>20</v>
      </c>
      <c r="O121" s="137"/>
      <c r="P121" s="129">
        <f>Q121+R121+S121</f>
        <v>51880000</v>
      </c>
      <c r="Q121" s="129">
        <f>SUM(Q122:Q123)</f>
        <v>34860000</v>
      </c>
      <c r="R121" s="129">
        <f>450000+8250000+70000+8250000</f>
        <v>17020000</v>
      </c>
      <c r="S121" s="222">
        <v>0</v>
      </c>
      <c r="T121" s="255" t="s">
        <v>1790</v>
      </c>
      <c r="U121" s="240">
        <v>42661</v>
      </c>
    </row>
    <row r="122" spans="1:21" s="204" customFormat="1" ht="27" customHeight="1" hidden="1" outlineLevel="1">
      <c r="A122" s="274">
        <f>IF(B122&lt;&gt;"",SUBTOTAL(103,$D$7:$D122),"")</f>
      </c>
      <c r="B122" s="220">
        <f>IF(C122&lt;&gt;"",SUBTOTAL(103,$C$81:$C122),"")</f>
      </c>
      <c r="C122" s="245"/>
      <c r="D122" s="47"/>
      <c r="E122" s="244"/>
      <c r="F122" s="42"/>
      <c r="G122" s="42"/>
      <c r="H122" s="42"/>
      <c r="I122" s="42"/>
      <c r="J122" s="45"/>
      <c r="K122" s="128"/>
      <c r="L122" s="45">
        <v>42005</v>
      </c>
      <c r="M122" s="45">
        <v>42461</v>
      </c>
      <c r="N122" s="128">
        <f t="shared" si="2"/>
        <v>16</v>
      </c>
      <c r="O122" s="137">
        <v>1150000</v>
      </c>
      <c r="P122" s="129"/>
      <c r="Q122" s="129">
        <f>N122*O122*1.5</f>
        <v>27600000</v>
      </c>
      <c r="R122" s="129"/>
      <c r="S122" s="129"/>
      <c r="T122" s="255"/>
      <c r="U122" s="240"/>
    </row>
    <row r="123" spans="1:21" s="204" customFormat="1" ht="27" customHeight="1" hidden="1" outlineLevel="1">
      <c r="A123" s="274">
        <f>IF(B123&lt;&gt;"",SUBTOTAL(103,$D$7:$D123),"")</f>
      </c>
      <c r="B123" s="220">
        <f>IF(C123&lt;&gt;"",SUBTOTAL(103,$C$81:$C123),"")</f>
      </c>
      <c r="C123" s="245"/>
      <c r="D123" s="47"/>
      <c r="E123" s="244"/>
      <c r="F123" s="42"/>
      <c r="G123" s="42"/>
      <c r="H123" s="42"/>
      <c r="I123" s="42"/>
      <c r="J123" s="45"/>
      <c r="K123" s="128"/>
      <c r="L123" s="45">
        <v>42491</v>
      </c>
      <c r="M123" s="45">
        <v>42583</v>
      </c>
      <c r="N123" s="128">
        <f t="shared" si="2"/>
        <v>4</v>
      </c>
      <c r="O123" s="137">
        <v>1210000</v>
      </c>
      <c r="P123" s="129"/>
      <c r="Q123" s="129">
        <f>N123*O123*1.5</f>
        <v>7260000</v>
      </c>
      <c r="R123" s="129"/>
      <c r="S123" s="129"/>
      <c r="T123" s="255"/>
      <c r="U123" s="240"/>
    </row>
    <row r="124" spans="1:21" s="204" customFormat="1" ht="27" customHeight="1" collapsed="1">
      <c r="A124" s="274">
        <f>IF(B124&lt;&gt;"",SUBTOTAL(103,$D$7:$D124),"")</f>
        <v>56</v>
      </c>
      <c r="B124" s="220">
        <f>IF(C124&lt;&gt;"",SUBTOTAL(103,$C$81:$C124),"")</f>
        <v>20</v>
      </c>
      <c r="C124" s="245" t="s">
        <v>1616</v>
      </c>
      <c r="D124" s="47" t="s">
        <v>1282</v>
      </c>
      <c r="E124" s="244" t="s">
        <v>1615</v>
      </c>
      <c r="F124" s="42" t="s">
        <v>1791</v>
      </c>
      <c r="G124" s="42" t="s">
        <v>1198</v>
      </c>
      <c r="H124" s="42" t="s">
        <v>1792</v>
      </c>
      <c r="I124" s="42" t="s">
        <v>1285</v>
      </c>
      <c r="J124" s="45">
        <v>42005</v>
      </c>
      <c r="K124" s="128">
        <v>0</v>
      </c>
      <c r="L124" s="45">
        <v>42005</v>
      </c>
      <c r="M124" s="45">
        <v>42583</v>
      </c>
      <c r="N124" s="128">
        <f t="shared" si="2"/>
        <v>20</v>
      </c>
      <c r="O124" s="137"/>
      <c r="P124" s="129">
        <f>Q124+R124+S124</f>
        <v>51810000</v>
      </c>
      <c r="Q124" s="129">
        <f>SUM(Q125:Q126)</f>
        <v>34860000</v>
      </c>
      <c r="R124" s="129">
        <f>450000+8250000+8250000</f>
        <v>16950000</v>
      </c>
      <c r="S124" s="222">
        <v>0</v>
      </c>
      <c r="T124" s="255" t="s">
        <v>1793</v>
      </c>
      <c r="U124" s="240">
        <v>42661</v>
      </c>
    </row>
    <row r="125" spans="1:21" s="204" customFormat="1" ht="27" customHeight="1" hidden="1" outlineLevel="1">
      <c r="A125" s="274">
        <f>IF(B125&lt;&gt;"",SUBTOTAL(103,$D$7:$D125),"")</f>
      </c>
      <c r="B125" s="220">
        <f>IF(C125&lt;&gt;"",SUBTOTAL(103,$C$81:$C125),"")</f>
      </c>
      <c r="C125" s="245"/>
      <c r="D125" s="47"/>
      <c r="E125" s="244"/>
      <c r="F125" s="42"/>
      <c r="G125" s="42"/>
      <c r="H125" s="42"/>
      <c r="I125" s="42"/>
      <c r="J125" s="45"/>
      <c r="K125" s="128"/>
      <c r="L125" s="45">
        <v>42005</v>
      </c>
      <c r="M125" s="45">
        <v>42461</v>
      </c>
      <c r="N125" s="128">
        <f t="shared" si="2"/>
        <v>16</v>
      </c>
      <c r="O125" s="137">
        <v>1150000</v>
      </c>
      <c r="P125" s="129"/>
      <c r="Q125" s="129">
        <f>N125*O125*1.5</f>
        <v>27600000</v>
      </c>
      <c r="R125" s="129"/>
      <c r="S125" s="129"/>
      <c r="T125" s="255"/>
      <c r="U125" s="240"/>
    </row>
    <row r="126" spans="1:21" s="204" customFormat="1" ht="27" customHeight="1" hidden="1" outlineLevel="1">
      <c r="A126" s="274">
        <f>IF(B126&lt;&gt;"",SUBTOTAL(103,$D$7:$D126),"")</f>
      </c>
      <c r="B126" s="220">
        <f>IF(C126&lt;&gt;"",SUBTOTAL(103,$C$81:$C126),"")</f>
      </c>
      <c r="C126" s="245"/>
      <c r="D126" s="47"/>
      <c r="E126" s="244"/>
      <c r="F126" s="42"/>
      <c r="G126" s="42"/>
      <c r="H126" s="42"/>
      <c r="I126" s="42"/>
      <c r="J126" s="45"/>
      <c r="K126" s="128"/>
      <c r="L126" s="45">
        <v>42491</v>
      </c>
      <c r="M126" s="45">
        <v>42583</v>
      </c>
      <c r="N126" s="128">
        <f t="shared" si="2"/>
        <v>4</v>
      </c>
      <c r="O126" s="137">
        <v>1210000</v>
      </c>
      <c r="P126" s="129"/>
      <c r="Q126" s="129">
        <f>N126*O126*1.5</f>
        <v>7260000</v>
      </c>
      <c r="R126" s="129"/>
      <c r="S126" s="129"/>
      <c r="T126" s="255"/>
      <c r="U126" s="240"/>
    </row>
    <row r="127" spans="1:21" s="204" customFormat="1" ht="27" customHeight="1" collapsed="1">
      <c r="A127" s="274">
        <f>IF(B127&lt;&gt;"",SUBTOTAL(103,$D$7:$D127),"")</f>
        <v>57</v>
      </c>
      <c r="B127" s="220">
        <f>IF(C127&lt;&gt;"",SUBTOTAL(103,$C$81:$C127),"")</f>
        <v>21</v>
      </c>
      <c r="C127" s="245" t="s">
        <v>1617</v>
      </c>
      <c r="D127" s="47" t="s">
        <v>1794</v>
      </c>
      <c r="E127" s="244" t="s">
        <v>1618</v>
      </c>
      <c r="F127" s="42" t="s">
        <v>1795</v>
      </c>
      <c r="G127" s="42" t="s">
        <v>1198</v>
      </c>
      <c r="H127" s="42" t="s">
        <v>1792</v>
      </c>
      <c r="I127" s="42" t="s">
        <v>1297</v>
      </c>
      <c r="J127" s="45">
        <v>41640</v>
      </c>
      <c r="K127" s="128">
        <v>0</v>
      </c>
      <c r="L127" s="45">
        <v>41640</v>
      </c>
      <c r="M127" s="45">
        <v>42217</v>
      </c>
      <c r="N127" s="128">
        <f t="shared" si="2"/>
        <v>20</v>
      </c>
      <c r="O127" s="137">
        <v>1150000</v>
      </c>
      <c r="P127" s="129">
        <f>Q127+R127+S127</f>
        <v>86325000</v>
      </c>
      <c r="Q127" s="129">
        <f>N127*O127*1.5</f>
        <v>34500000</v>
      </c>
      <c r="R127" s="129">
        <f>7275000+8250000</f>
        <v>15525000</v>
      </c>
      <c r="S127" s="129">
        <f>30*1210000</f>
        <v>36300000</v>
      </c>
      <c r="T127" s="255" t="s">
        <v>2004</v>
      </c>
      <c r="U127" s="240">
        <v>42661</v>
      </c>
    </row>
    <row r="128" spans="1:21" s="204" customFormat="1" ht="27" customHeight="1">
      <c r="A128" s="274">
        <f>IF(B128&lt;&gt;"",SUBTOTAL(103,$D$7:$D128),"")</f>
        <v>58</v>
      </c>
      <c r="B128" s="220">
        <f>IF(C128&lt;&gt;"",SUBTOTAL(103,$C$81:$C128),"")</f>
        <v>22</v>
      </c>
      <c r="C128" s="245" t="s">
        <v>467</v>
      </c>
      <c r="D128" s="47" t="s">
        <v>1796</v>
      </c>
      <c r="E128" s="244" t="s">
        <v>1618</v>
      </c>
      <c r="F128" s="42" t="s">
        <v>1797</v>
      </c>
      <c r="G128" s="42" t="s">
        <v>1198</v>
      </c>
      <c r="H128" s="42" t="s">
        <v>1798</v>
      </c>
      <c r="I128" s="42" t="s">
        <v>524</v>
      </c>
      <c r="J128" s="45">
        <v>41640</v>
      </c>
      <c r="K128" s="128">
        <v>0</v>
      </c>
      <c r="L128" s="45">
        <v>41640</v>
      </c>
      <c r="M128" s="45">
        <v>42217</v>
      </c>
      <c r="N128" s="128">
        <f t="shared" si="2"/>
        <v>20</v>
      </c>
      <c r="O128" s="137">
        <v>1150000</v>
      </c>
      <c r="P128" s="129">
        <f>Q128+R128+S128</f>
        <v>85837500</v>
      </c>
      <c r="Q128" s="129">
        <f>N128*O128*1.5</f>
        <v>34500000</v>
      </c>
      <c r="R128" s="129">
        <f>8250000+6787500</f>
        <v>15037500</v>
      </c>
      <c r="S128" s="129">
        <f>30*1210000</f>
        <v>36300000</v>
      </c>
      <c r="T128" s="255" t="s">
        <v>2005</v>
      </c>
      <c r="U128" s="240">
        <v>42661</v>
      </c>
    </row>
    <row r="129" spans="1:21" s="204" customFormat="1" ht="27" customHeight="1">
      <c r="A129" s="274">
        <f>IF(B129&lt;&gt;"",SUBTOTAL(103,$D$7:$D129),"")</f>
        <v>59</v>
      </c>
      <c r="B129" s="220">
        <f>IF(C129&lt;&gt;"",SUBTOTAL(103,$C$81:$C129),"")</f>
        <v>23</v>
      </c>
      <c r="C129" s="245" t="s">
        <v>1619</v>
      </c>
      <c r="D129" s="47" t="s">
        <v>1799</v>
      </c>
      <c r="E129" s="244" t="s">
        <v>1620</v>
      </c>
      <c r="F129" s="42" t="s">
        <v>1800</v>
      </c>
      <c r="G129" s="42" t="s">
        <v>1198</v>
      </c>
      <c r="H129" s="42" t="s">
        <v>1769</v>
      </c>
      <c r="I129" s="42" t="s">
        <v>252</v>
      </c>
      <c r="J129" s="45">
        <v>42005</v>
      </c>
      <c r="K129" s="128">
        <v>0</v>
      </c>
      <c r="L129" s="45">
        <v>42005</v>
      </c>
      <c r="M129" s="45">
        <v>42583</v>
      </c>
      <c r="N129" s="128">
        <f t="shared" si="2"/>
        <v>20</v>
      </c>
      <c r="O129" s="137"/>
      <c r="P129" s="129">
        <f>Q129+R129+S129</f>
        <v>56055000</v>
      </c>
      <c r="Q129" s="129">
        <f>SUM(Q130:Q131)</f>
        <v>34860000</v>
      </c>
      <c r="R129" s="129">
        <f>11025000+9750000+420000</f>
        <v>21195000</v>
      </c>
      <c r="S129" s="222">
        <v>0</v>
      </c>
      <c r="T129" s="255" t="s">
        <v>1801</v>
      </c>
      <c r="U129" s="240">
        <v>42661</v>
      </c>
    </row>
    <row r="130" spans="1:21" s="204" customFormat="1" ht="27" customHeight="1" hidden="1" outlineLevel="1">
      <c r="A130" s="274">
        <f>IF(B130&lt;&gt;"",SUBTOTAL(103,$D$7:$D130),"")</f>
      </c>
      <c r="B130" s="220">
        <f>IF(C130&lt;&gt;"",SUBTOTAL(103,$C$81:$C130),"")</f>
      </c>
      <c r="C130" s="245"/>
      <c r="D130" s="47"/>
      <c r="E130" s="244"/>
      <c r="F130" s="42"/>
      <c r="G130" s="42"/>
      <c r="H130" s="42"/>
      <c r="I130" s="42"/>
      <c r="J130" s="45"/>
      <c r="K130" s="128"/>
      <c r="L130" s="45">
        <v>42005</v>
      </c>
      <c r="M130" s="45">
        <v>42461</v>
      </c>
      <c r="N130" s="128">
        <f t="shared" si="2"/>
        <v>16</v>
      </c>
      <c r="O130" s="137">
        <v>1150000</v>
      </c>
      <c r="P130" s="129"/>
      <c r="Q130" s="129">
        <f aca="true" t="shared" si="5" ref="Q130:Q138">N130*O130*1.5</f>
        <v>27600000</v>
      </c>
      <c r="R130" s="129"/>
      <c r="S130" s="129"/>
      <c r="T130" s="255"/>
      <c r="U130" s="240"/>
    </row>
    <row r="131" spans="1:21" s="204" customFormat="1" ht="27" customHeight="1" hidden="1" outlineLevel="1">
      <c r="A131" s="274">
        <f>IF(B131&lt;&gt;"",SUBTOTAL(103,$D$7:$D131),"")</f>
      </c>
      <c r="B131" s="220">
        <f>IF(C131&lt;&gt;"",SUBTOTAL(103,$C$81:$C131),"")</f>
      </c>
      <c r="C131" s="245"/>
      <c r="D131" s="47"/>
      <c r="E131" s="244"/>
      <c r="F131" s="42"/>
      <c r="G131" s="42"/>
      <c r="H131" s="42"/>
      <c r="I131" s="42"/>
      <c r="J131" s="45"/>
      <c r="K131" s="128"/>
      <c r="L131" s="45">
        <v>42491</v>
      </c>
      <c r="M131" s="45">
        <v>42583</v>
      </c>
      <c r="N131" s="128">
        <f t="shared" si="2"/>
        <v>4</v>
      </c>
      <c r="O131" s="137">
        <v>1210000</v>
      </c>
      <c r="P131" s="129"/>
      <c r="Q131" s="129">
        <f t="shared" si="5"/>
        <v>7260000</v>
      </c>
      <c r="R131" s="129"/>
      <c r="S131" s="129"/>
      <c r="T131" s="255"/>
      <c r="U131" s="240"/>
    </row>
    <row r="132" spans="1:21" s="204" customFormat="1" ht="27" customHeight="1" collapsed="1">
      <c r="A132" s="274">
        <f>IF(B132&lt;&gt;"",SUBTOTAL(103,$D$7:$D132),"")</f>
        <v>60</v>
      </c>
      <c r="B132" s="220">
        <f>IF(C132&lt;&gt;"",SUBTOTAL(103,$C$81:$C132),"")</f>
        <v>24</v>
      </c>
      <c r="C132" s="245" t="s">
        <v>1621</v>
      </c>
      <c r="D132" s="47" t="s">
        <v>1802</v>
      </c>
      <c r="E132" s="244" t="s">
        <v>1613</v>
      </c>
      <c r="F132" s="42" t="s">
        <v>1803</v>
      </c>
      <c r="G132" s="42" t="s">
        <v>1198</v>
      </c>
      <c r="H132" s="42" t="s">
        <v>1804</v>
      </c>
      <c r="I132" s="222"/>
      <c r="J132" s="45">
        <v>41640</v>
      </c>
      <c r="K132" s="128">
        <v>0</v>
      </c>
      <c r="L132" s="45">
        <v>41640</v>
      </c>
      <c r="M132" s="45">
        <v>42217</v>
      </c>
      <c r="N132" s="128">
        <f t="shared" si="2"/>
        <v>20</v>
      </c>
      <c r="O132" s="137">
        <v>1150000</v>
      </c>
      <c r="P132" s="129">
        <f aca="true" t="shared" si="6" ref="P132:P139">Q132+R132+S132</f>
        <v>86325000</v>
      </c>
      <c r="Q132" s="129">
        <f t="shared" si="5"/>
        <v>34500000</v>
      </c>
      <c r="R132" s="129">
        <f>7275000+8250000</f>
        <v>15525000</v>
      </c>
      <c r="S132" s="129">
        <f>30*1210000</f>
        <v>36300000</v>
      </c>
      <c r="T132" s="255" t="s">
        <v>2006</v>
      </c>
      <c r="U132" s="240">
        <v>42661</v>
      </c>
    </row>
    <row r="133" spans="1:21" s="204" customFormat="1" ht="27" customHeight="1">
      <c r="A133" s="274">
        <f>IF(B133&lt;&gt;"",SUBTOTAL(103,$D$7:$D133),"")</f>
        <v>61</v>
      </c>
      <c r="B133" s="220">
        <f>IF(C133&lt;&gt;"",SUBTOTAL(103,$C$81:$C133),"")</f>
        <v>25</v>
      </c>
      <c r="C133" s="245" t="s">
        <v>1622</v>
      </c>
      <c r="D133" s="47" t="s">
        <v>1805</v>
      </c>
      <c r="E133" s="244" t="s">
        <v>1623</v>
      </c>
      <c r="F133" s="42" t="s">
        <v>1806</v>
      </c>
      <c r="G133" s="42" t="s">
        <v>1198</v>
      </c>
      <c r="H133" s="42" t="s">
        <v>1804</v>
      </c>
      <c r="I133" s="42" t="s">
        <v>252</v>
      </c>
      <c r="J133" s="45">
        <v>41640</v>
      </c>
      <c r="K133" s="128">
        <v>0</v>
      </c>
      <c r="L133" s="45">
        <v>41640</v>
      </c>
      <c r="M133" s="45">
        <v>42217</v>
      </c>
      <c r="N133" s="128">
        <f t="shared" si="2"/>
        <v>20</v>
      </c>
      <c r="O133" s="137">
        <v>1150000</v>
      </c>
      <c r="P133" s="129">
        <f t="shared" si="6"/>
        <v>87225000</v>
      </c>
      <c r="Q133" s="129">
        <f t="shared" si="5"/>
        <v>34500000</v>
      </c>
      <c r="R133" s="129">
        <f>10525000+7700000</f>
        <v>18225000</v>
      </c>
      <c r="S133" s="129">
        <f>30*O133</f>
        <v>34500000</v>
      </c>
      <c r="T133" s="255" t="s">
        <v>2002</v>
      </c>
      <c r="U133" s="240">
        <v>42661</v>
      </c>
    </row>
    <row r="134" spans="1:21" s="204" customFormat="1" ht="27" customHeight="1">
      <c r="A134" s="274">
        <f>IF(B134&lt;&gt;"",SUBTOTAL(103,$D$7:$D134),"")</f>
        <v>62</v>
      </c>
      <c r="B134" s="220">
        <f>IF(C134&lt;&gt;"",SUBTOTAL(103,$C$81:$C134),"")</f>
        <v>26</v>
      </c>
      <c r="C134" s="245" t="s">
        <v>1624</v>
      </c>
      <c r="D134" s="47" t="s">
        <v>1807</v>
      </c>
      <c r="E134" s="244" t="s">
        <v>1625</v>
      </c>
      <c r="F134" s="42" t="s">
        <v>1808</v>
      </c>
      <c r="G134" s="42" t="s">
        <v>1198</v>
      </c>
      <c r="H134" s="42" t="s">
        <v>1764</v>
      </c>
      <c r="I134" s="42" t="s">
        <v>1289</v>
      </c>
      <c r="J134" s="45">
        <v>41640</v>
      </c>
      <c r="K134" s="128">
        <v>0</v>
      </c>
      <c r="L134" s="45">
        <v>41640</v>
      </c>
      <c r="M134" s="45">
        <v>42217</v>
      </c>
      <c r="N134" s="128">
        <f t="shared" si="2"/>
        <v>20</v>
      </c>
      <c r="O134" s="137">
        <v>1150000</v>
      </c>
      <c r="P134" s="129">
        <f t="shared" si="6"/>
        <v>87225000</v>
      </c>
      <c r="Q134" s="129">
        <f t="shared" si="5"/>
        <v>34500000</v>
      </c>
      <c r="R134" s="129">
        <f>8475000+9750000</f>
        <v>18225000</v>
      </c>
      <c r="S134" s="129">
        <f>30*O134</f>
        <v>34500000</v>
      </c>
      <c r="T134" s="255" t="s">
        <v>2007</v>
      </c>
      <c r="U134" s="240">
        <v>42661</v>
      </c>
    </row>
    <row r="135" spans="1:21" s="204" customFormat="1" ht="27" customHeight="1">
      <c r="A135" s="274">
        <f>IF(B135&lt;&gt;"",SUBTOTAL(103,$D$7:$D135),"")</f>
        <v>63</v>
      </c>
      <c r="B135" s="220">
        <f>IF(C135&lt;&gt;"",SUBTOTAL(103,$C$81:$C135),"")</f>
        <v>27</v>
      </c>
      <c r="C135" s="245" t="s">
        <v>1626</v>
      </c>
      <c r="D135" s="47" t="s">
        <v>1809</v>
      </c>
      <c r="E135" s="244" t="s">
        <v>1625</v>
      </c>
      <c r="F135" s="42" t="s">
        <v>1810</v>
      </c>
      <c r="G135" s="42" t="s">
        <v>1198</v>
      </c>
      <c r="H135" s="42" t="s">
        <v>1792</v>
      </c>
      <c r="I135" s="42" t="s">
        <v>252</v>
      </c>
      <c r="J135" s="45">
        <v>41640</v>
      </c>
      <c r="K135" s="128">
        <v>0</v>
      </c>
      <c r="L135" s="45">
        <v>41640</v>
      </c>
      <c r="M135" s="45">
        <v>42217</v>
      </c>
      <c r="N135" s="128">
        <f t="shared" si="2"/>
        <v>20</v>
      </c>
      <c r="O135" s="137">
        <v>1150000</v>
      </c>
      <c r="P135" s="129">
        <f t="shared" si="6"/>
        <v>87225000</v>
      </c>
      <c r="Q135" s="129">
        <f t="shared" si="5"/>
        <v>34500000</v>
      </c>
      <c r="R135" s="129">
        <f>9200000+9025000</f>
        <v>18225000</v>
      </c>
      <c r="S135" s="129">
        <f>30*O135</f>
        <v>34500000</v>
      </c>
      <c r="T135" s="255" t="s">
        <v>2008</v>
      </c>
      <c r="U135" s="240">
        <v>42661</v>
      </c>
    </row>
    <row r="136" spans="1:21" s="204" customFormat="1" ht="27" customHeight="1">
      <c r="A136" s="274">
        <f>IF(B136&lt;&gt;"",SUBTOTAL(103,$D$7:$D136),"")</f>
        <v>64</v>
      </c>
      <c r="B136" s="220">
        <f>IF(C136&lt;&gt;"",SUBTOTAL(103,$C$81:$C136),"")</f>
        <v>28</v>
      </c>
      <c r="C136" s="245" t="s">
        <v>1627</v>
      </c>
      <c r="D136" s="47" t="s">
        <v>1811</v>
      </c>
      <c r="E136" s="244" t="s">
        <v>1625</v>
      </c>
      <c r="F136" s="42" t="s">
        <v>1812</v>
      </c>
      <c r="G136" s="42" t="s">
        <v>1198</v>
      </c>
      <c r="H136" s="42" t="s">
        <v>1798</v>
      </c>
      <c r="I136" s="42" t="s">
        <v>1297</v>
      </c>
      <c r="J136" s="45">
        <v>41640</v>
      </c>
      <c r="K136" s="128">
        <v>0</v>
      </c>
      <c r="L136" s="45">
        <v>41640</v>
      </c>
      <c r="M136" s="45">
        <v>42217</v>
      </c>
      <c r="N136" s="128">
        <f t="shared" si="2"/>
        <v>20</v>
      </c>
      <c r="O136" s="137">
        <v>1150000</v>
      </c>
      <c r="P136" s="129">
        <f t="shared" si="6"/>
        <v>86325000</v>
      </c>
      <c r="Q136" s="129">
        <f t="shared" si="5"/>
        <v>34500000</v>
      </c>
      <c r="R136" s="129">
        <f>7275000+8250000</f>
        <v>15525000</v>
      </c>
      <c r="S136" s="129">
        <f>30*1210000</f>
        <v>36300000</v>
      </c>
      <c r="T136" s="255" t="s">
        <v>2009</v>
      </c>
      <c r="U136" s="240">
        <v>42661</v>
      </c>
    </row>
    <row r="137" spans="1:21" s="204" customFormat="1" ht="27" customHeight="1">
      <c r="A137" s="274">
        <f>IF(B137&lt;&gt;"",SUBTOTAL(103,$D$7:$D137),"")</f>
        <v>65</v>
      </c>
      <c r="B137" s="220">
        <f>IF(C137&lt;&gt;"",SUBTOTAL(103,$C$81:$C137),"")</f>
        <v>29</v>
      </c>
      <c r="C137" s="245" t="s">
        <v>1628</v>
      </c>
      <c r="D137" s="47" t="s">
        <v>1284</v>
      </c>
      <c r="E137" s="244" t="s">
        <v>1629</v>
      </c>
      <c r="F137" s="42" t="s">
        <v>1813</v>
      </c>
      <c r="G137" s="42" t="s">
        <v>1198</v>
      </c>
      <c r="H137" s="42" t="s">
        <v>1769</v>
      </c>
      <c r="I137" s="42" t="s">
        <v>252</v>
      </c>
      <c r="J137" s="45">
        <v>41640</v>
      </c>
      <c r="K137" s="128">
        <v>0</v>
      </c>
      <c r="L137" s="45">
        <v>41640</v>
      </c>
      <c r="M137" s="45">
        <v>42217</v>
      </c>
      <c r="N137" s="128">
        <f t="shared" si="2"/>
        <v>20</v>
      </c>
      <c r="O137" s="137">
        <v>1150000</v>
      </c>
      <c r="P137" s="129">
        <f t="shared" si="6"/>
        <v>87225000</v>
      </c>
      <c r="Q137" s="129">
        <f t="shared" si="5"/>
        <v>34500000</v>
      </c>
      <c r="R137" s="129">
        <f>9025000+9200000</f>
        <v>18225000</v>
      </c>
      <c r="S137" s="129">
        <f>30*O137</f>
        <v>34500000</v>
      </c>
      <c r="T137" s="255" t="s">
        <v>2010</v>
      </c>
      <c r="U137" s="240">
        <v>42661</v>
      </c>
    </row>
    <row r="138" spans="1:21" s="204" customFormat="1" ht="27" customHeight="1">
      <c r="A138" s="274">
        <f>IF(B138&lt;&gt;"",SUBTOTAL(103,$D$7:$D138),"")</f>
        <v>66</v>
      </c>
      <c r="B138" s="220">
        <f>IF(C138&lt;&gt;"",SUBTOTAL(103,$C$81:$C138),"")</f>
        <v>30</v>
      </c>
      <c r="C138" s="245" t="s">
        <v>1630</v>
      </c>
      <c r="D138" s="47" t="s">
        <v>1814</v>
      </c>
      <c r="E138" s="244" t="s">
        <v>1629</v>
      </c>
      <c r="F138" s="42" t="s">
        <v>1815</v>
      </c>
      <c r="G138" s="42" t="s">
        <v>1198</v>
      </c>
      <c r="H138" s="42" t="s">
        <v>1792</v>
      </c>
      <c r="I138" s="42" t="s">
        <v>1816</v>
      </c>
      <c r="J138" s="45">
        <v>41640</v>
      </c>
      <c r="K138" s="128">
        <v>0</v>
      </c>
      <c r="L138" s="45">
        <v>41640</v>
      </c>
      <c r="M138" s="45">
        <v>42217</v>
      </c>
      <c r="N138" s="128">
        <f t="shared" si="2"/>
        <v>20</v>
      </c>
      <c r="O138" s="137">
        <v>1150000</v>
      </c>
      <c r="P138" s="129">
        <f t="shared" si="6"/>
        <v>86650000</v>
      </c>
      <c r="Q138" s="129">
        <f t="shared" si="5"/>
        <v>34500000</v>
      </c>
      <c r="R138" s="129">
        <f>3700000+4200000+4875000+4875000</f>
        <v>17650000</v>
      </c>
      <c r="S138" s="129">
        <f>30*O138</f>
        <v>34500000</v>
      </c>
      <c r="T138" s="255" t="s">
        <v>2011</v>
      </c>
      <c r="U138" s="240">
        <v>42661</v>
      </c>
    </row>
    <row r="139" spans="1:21" s="204" customFormat="1" ht="27" customHeight="1">
      <c r="A139" s="274">
        <f>IF(B139&lt;&gt;"",SUBTOTAL(103,$D$7:$D139),"")</f>
        <v>67</v>
      </c>
      <c r="B139" s="220">
        <f>IF(C139&lt;&gt;"",SUBTOTAL(103,$C$81:$C139),"")</f>
        <v>31</v>
      </c>
      <c r="C139" s="245" t="s">
        <v>1631</v>
      </c>
      <c r="D139" s="47" t="s">
        <v>1817</v>
      </c>
      <c r="E139" s="244" t="s">
        <v>1632</v>
      </c>
      <c r="F139" s="42" t="s">
        <v>1818</v>
      </c>
      <c r="G139" s="42" t="s">
        <v>1198</v>
      </c>
      <c r="H139" s="42" t="s">
        <v>1764</v>
      </c>
      <c r="I139" s="42" t="s">
        <v>1289</v>
      </c>
      <c r="J139" s="45">
        <v>42005</v>
      </c>
      <c r="K139" s="128">
        <v>0</v>
      </c>
      <c r="L139" s="45">
        <v>42005</v>
      </c>
      <c r="M139" s="45">
        <v>42583</v>
      </c>
      <c r="N139" s="128">
        <f t="shared" si="2"/>
        <v>20</v>
      </c>
      <c r="O139" s="137"/>
      <c r="P139" s="129">
        <f t="shared" si="6"/>
        <v>52410000</v>
      </c>
      <c r="Q139" s="129">
        <f>SUM(Q140:Q141)</f>
        <v>34860000</v>
      </c>
      <c r="R139" s="129">
        <f>8250000+9300000</f>
        <v>17550000</v>
      </c>
      <c r="S139" s="222">
        <v>0</v>
      </c>
      <c r="T139" s="255" t="s">
        <v>1801</v>
      </c>
      <c r="U139" s="240">
        <v>42661</v>
      </c>
    </row>
    <row r="140" spans="1:21" s="293" customFormat="1" ht="27" customHeight="1" hidden="1" outlineLevel="1">
      <c r="A140" s="274">
        <f>IF(B140&lt;&gt;"",SUBTOTAL(103,$D$7:$D140),"")</f>
      </c>
      <c r="B140" s="220">
        <f>IF(C140&lt;&gt;"",SUBTOTAL(103,$C$81:$C140),"")</f>
      </c>
      <c r="C140" s="205"/>
      <c r="D140" s="206"/>
      <c r="E140" s="46"/>
      <c r="F140" s="46"/>
      <c r="G140" s="46"/>
      <c r="H140" s="46"/>
      <c r="I140" s="46"/>
      <c r="J140" s="45"/>
      <c r="K140" s="128"/>
      <c r="L140" s="45">
        <v>42005</v>
      </c>
      <c r="M140" s="45">
        <v>42461</v>
      </c>
      <c r="N140" s="128">
        <f t="shared" si="2"/>
        <v>16</v>
      </c>
      <c r="O140" s="137">
        <v>1150000</v>
      </c>
      <c r="P140" s="129"/>
      <c r="Q140" s="129">
        <f>N140*O140*1.5</f>
        <v>27600000</v>
      </c>
      <c r="R140" s="129"/>
      <c r="S140" s="129"/>
      <c r="T140" s="255"/>
      <c r="U140" s="240"/>
    </row>
    <row r="141" spans="1:21" s="293" customFormat="1" ht="27" customHeight="1" hidden="1" outlineLevel="1">
      <c r="A141" s="274">
        <f>IF(B141&lt;&gt;"",SUBTOTAL(103,$D$7:$D141),"")</f>
      </c>
      <c r="B141" s="220">
        <f>IF(C141&lt;&gt;"",SUBTOTAL(103,$C$81:$C141),"")</f>
      </c>
      <c r="C141" s="205"/>
      <c r="D141" s="206"/>
      <c r="E141" s="46"/>
      <c r="F141" s="46"/>
      <c r="G141" s="46"/>
      <c r="H141" s="46"/>
      <c r="I141" s="46"/>
      <c r="J141" s="45"/>
      <c r="K141" s="128"/>
      <c r="L141" s="45">
        <v>42491</v>
      </c>
      <c r="M141" s="45">
        <v>42583</v>
      </c>
      <c r="N141" s="128">
        <f t="shared" si="2"/>
        <v>4</v>
      </c>
      <c r="O141" s="137">
        <v>1210000</v>
      </c>
      <c r="P141" s="129"/>
      <c r="Q141" s="129">
        <f>N141*O141*1.5</f>
        <v>7260000</v>
      </c>
      <c r="R141" s="129"/>
      <c r="S141" s="129"/>
      <c r="T141" s="255"/>
      <c r="U141" s="240"/>
    </row>
    <row r="142" spans="1:21" s="204" customFormat="1" ht="27" customHeight="1" collapsed="1">
      <c r="A142" s="274">
        <f>IF(B142&lt;&gt;"",SUBTOTAL(103,$D$7:$D142),"")</f>
        <v>68</v>
      </c>
      <c r="B142" s="220">
        <f>IF(C142&lt;&gt;"",SUBTOTAL(103,$C$81:$C142),"")</f>
        <v>32</v>
      </c>
      <c r="C142" s="245" t="s">
        <v>1633</v>
      </c>
      <c r="D142" s="47" t="s">
        <v>1819</v>
      </c>
      <c r="E142" s="244" t="s">
        <v>1634</v>
      </c>
      <c r="F142" s="42" t="s">
        <v>1820</v>
      </c>
      <c r="G142" s="42" t="s">
        <v>1198</v>
      </c>
      <c r="H142" s="42" t="s">
        <v>1563</v>
      </c>
      <c r="I142" s="42" t="s">
        <v>1821</v>
      </c>
      <c r="J142" s="45">
        <v>42005</v>
      </c>
      <c r="K142" s="128">
        <v>0</v>
      </c>
      <c r="L142" s="45">
        <v>42005</v>
      </c>
      <c r="M142" s="45">
        <v>42583</v>
      </c>
      <c r="N142" s="128">
        <f t="shared" si="2"/>
        <v>20</v>
      </c>
      <c r="O142" s="137"/>
      <c r="P142" s="129">
        <f>Q142+R142+S142</f>
        <v>54985000</v>
      </c>
      <c r="Q142" s="129">
        <f>SUM(Q143:Q144)</f>
        <v>34860000</v>
      </c>
      <c r="R142" s="129">
        <f>5400000+4975000+4875000+4875000</f>
        <v>20125000</v>
      </c>
      <c r="S142" s="222">
        <v>0</v>
      </c>
      <c r="T142" s="255" t="s">
        <v>1822</v>
      </c>
      <c r="U142" s="240">
        <v>42661</v>
      </c>
    </row>
    <row r="143" spans="1:21" s="204" customFormat="1" ht="27" customHeight="1" hidden="1" outlineLevel="1">
      <c r="A143" s="274">
        <f>IF(B143&lt;&gt;"",SUBTOTAL(103,$D$7:$D143),"")</f>
      </c>
      <c r="B143" s="220">
        <f>IF(C143&lt;&gt;"",SUBTOTAL(103,$C$81:$C143),"")</f>
      </c>
      <c r="C143" s="245"/>
      <c r="D143" s="292"/>
      <c r="E143" s="244"/>
      <c r="F143" s="42"/>
      <c r="G143" s="42"/>
      <c r="H143" s="42"/>
      <c r="I143" s="42"/>
      <c r="J143" s="45"/>
      <c r="K143" s="128"/>
      <c r="L143" s="45">
        <v>42005</v>
      </c>
      <c r="M143" s="45">
        <v>42461</v>
      </c>
      <c r="N143" s="128">
        <f t="shared" si="2"/>
        <v>16</v>
      </c>
      <c r="O143" s="137">
        <v>1150000</v>
      </c>
      <c r="P143" s="129"/>
      <c r="Q143" s="129">
        <f>N143*O143*1.5</f>
        <v>27600000</v>
      </c>
      <c r="R143" s="129"/>
      <c r="S143" s="129"/>
      <c r="T143" s="255"/>
      <c r="U143" s="240"/>
    </row>
    <row r="144" spans="1:21" s="204" customFormat="1" ht="27" customHeight="1" hidden="1" outlineLevel="1">
      <c r="A144" s="274">
        <f>IF(B144&lt;&gt;"",SUBTOTAL(103,$D$7:$D144),"")</f>
      </c>
      <c r="B144" s="220">
        <f>IF(C144&lt;&gt;"",SUBTOTAL(103,$C$81:$C144),"")</f>
      </c>
      <c r="C144" s="245"/>
      <c r="D144" s="292"/>
      <c r="E144" s="244"/>
      <c r="F144" s="42"/>
      <c r="G144" s="42"/>
      <c r="H144" s="42"/>
      <c r="I144" s="42"/>
      <c r="J144" s="45"/>
      <c r="K144" s="128"/>
      <c r="L144" s="45">
        <v>42491</v>
      </c>
      <c r="M144" s="45">
        <v>42583</v>
      </c>
      <c r="N144" s="128">
        <f t="shared" si="2"/>
        <v>4</v>
      </c>
      <c r="O144" s="137">
        <v>1210000</v>
      </c>
      <c r="P144" s="129"/>
      <c r="Q144" s="129">
        <f>N144*O144*1.5</f>
        <v>7260000</v>
      </c>
      <c r="R144" s="129"/>
      <c r="S144" s="129"/>
      <c r="T144" s="255"/>
      <c r="U144" s="240"/>
    </row>
    <row r="145" spans="1:21" s="204" customFormat="1" ht="27" customHeight="1" collapsed="1">
      <c r="A145" s="274">
        <f>IF(B145&lt;&gt;"",SUBTOTAL(103,$D$7:$D145),"")</f>
        <v>69</v>
      </c>
      <c r="B145" s="220">
        <f>IF(C145&lt;&gt;"",SUBTOTAL(103,$C$81:$C145),"")</f>
        <v>33</v>
      </c>
      <c r="C145" s="245" t="s">
        <v>1635</v>
      </c>
      <c r="D145" s="47" t="s">
        <v>1823</v>
      </c>
      <c r="E145" s="244" t="s">
        <v>1634</v>
      </c>
      <c r="F145" s="42" t="s">
        <v>1824</v>
      </c>
      <c r="G145" s="42" t="s">
        <v>1198</v>
      </c>
      <c r="H145" s="42" t="s">
        <v>1825</v>
      </c>
      <c r="I145" s="42" t="s">
        <v>1462</v>
      </c>
      <c r="J145" s="45">
        <v>42005</v>
      </c>
      <c r="K145" s="128">
        <v>0</v>
      </c>
      <c r="L145" s="45">
        <v>42005</v>
      </c>
      <c r="M145" s="45">
        <v>42583</v>
      </c>
      <c r="N145" s="128">
        <f t="shared" si="2"/>
        <v>20</v>
      </c>
      <c r="O145" s="137">
        <v>1210000</v>
      </c>
      <c r="P145" s="129">
        <f>Q145+R145+S145</f>
        <v>101815000</v>
      </c>
      <c r="Q145" s="129">
        <f>SUM(Q146:Q147)</f>
        <v>34860000</v>
      </c>
      <c r="R145" s="129">
        <f>600000+50000+7000000+7000000+12305000+3700000</f>
        <v>30655000</v>
      </c>
      <c r="S145" s="129">
        <f>30*O145</f>
        <v>36300000</v>
      </c>
      <c r="T145" s="255" t="s">
        <v>2012</v>
      </c>
      <c r="U145" s="240">
        <v>42661</v>
      </c>
    </row>
    <row r="146" spans="1:21" s="204" customFormat="1" ht="27" customHeight="1" hidden="1" outlineLevel="1">
      <c r="A146" s="274">
        <f>IF(B146&lt;&gt;"",SUBTOTAL(103,$D$7:$D146),"")</f>
      </c>
      <c r="B146" s="220">
        <f>IF(C146&lt;&gt;"",SUBTOTAL(103,$C$81:$C146),"")</f>
      </c>
      <c r="C146" s="245"/>
      <c r="D146" s="292"/>
      <c r="E146" s="244"/>
      <c r="F146" s="42"/>
      <c r="G146" s="42"/>
      <c r="H146" s="42"/>
      <c r="I146" s="42"/>
      <c r="J146" s="45"/>
      <c r="K146" s="128"/>
      <c r="L146" s="45">
        <v>42005</v>
      </c>
      <c r="M146" s="45">
        <v>42461</v>
      </c>
      <c r="N146" s="128">
        <f aca="true" t="shared" si="7" ref="N146:N183">DATEDIF(L146,M146,"m")+1</f>
        <v>16</v>
      </c>
      <c r="O146" s="137">
        <v>1150000</v>
      </c>
      <c r="P146" s="129"/>
      <c r="Q146" s="129">
        <f>N146*O146*1.5</f>
        <v>27600000</v>
      </c>
      <c r="R146" s="129"/>
      <c r="S146" s="129"/>
      <c r="T146" s="255"/>
      <c r="U146" s="240"/>
    </row>
    <row r="147" spans="1:21" s="204" customFormat="1" ht="27" customHeight="1" hidden="1" outlineLevel="1">
      <c r="A147" s="274">
        <f>IF(B147&lt;&gt;"",SUBTOTAL(103,$D$7:$D147),"")</f>
      </c>
      <c r="B147" s="220">
        <f>IF(C147&lt;&gt;"",SUBTOTAL(103,$C$81:$C147),"")</f>
      </c>
      <c r="C147" s="245"/>
      <c r="D147" s="292"/>
      <c r="E147" s="244"/>
      <c r="F147" s="42"/>
      <c r="G147" s="42"/>
      <c r="H147" s="42"/>
      <c r="I147" s="42"/>
      <c r="J147" s="45"/>
      <c r="K147" s="128"/>
      <c r="L147" s="45">
        <v>42491</v>
      </c>
      <c r="M147" s="45">
        <v>42583</v>
      </c>
      <c r="N147" s="128">
        <f t="shared" si="7"/>
        <v>4</v>
      </c>
      <c r="O147" s="137">
        <v>1210000</v>
      </c>
      <c r="P147" s="129"/>
      <c r="Q147" s="129">
        <f>N147*O147*1.5</f>
        <v>7260000</v>
      </c>
      <c r="R147" s="129"/>
      <c r="S147" s="129"/>
      <c r="T147" s="255"/>
      <c r="U147" s="240"/>
    </row>
    <row r="148" spans="1:21" s="204" customFormat="1" ht="27" customHeight="1" collapsed="1">
      <c r="A148" s="274">
        <f>IF(B148&lt;&gt;"",SUBTOTAL(103,$D$7:$D148),"")</f>
        <v>70</v>
      </c>
      <c r="B148" s="220">
        <f>IF(C148&lt;&gt;"",SUBTOTAL(103,$C$81:$C148),"")</f>
        <v>34</v>
      </c>
      <c r="C148" s="245" t="s">
        <v>1636</v>
      </c>
      <c r="D148" s="47" t="s">
        <v>1826</v>
      </c>
      <c r="E148" s="244" t="s">
        <v>1604</v>
      </c>
      <c r="F148" s="42" t="s">
        <v>1827</v>
      </c>
      <c r="G148" s="42" t="s">
        <v>1198</v>
      </c>
      <c r="H148" s="42" t="s">
        <v>1764</v>
      </c>
      <c r="I148" s="42" t="s">
        <v>1289</v>
      </c>
      <c r="J148" s="45">
        <v>42005</v>
      </c>
      <c r="K148" s="128">
        <v>0</v>
      </c>
      <c r="L148" s="45">
        <v>42005</v>
      </c>
      <c r="M148" s="45">
        <v>42583</v>
      </c>
      <c r="N148" s="128">
        <f t="shared" si="7"/>
        <v>20</v>
      </c>
      <c r="O148" s="137"/>
      <c r="P148" s="129">
        <f>Q148+R148+S148</f>
        <v>55810000</v>
      </c>
      <c r="Q148" s="129">
        <f>SUM(Q149:Q150)</f>
        <v>34860000</v>
      </c>
      <c r="R148" s="129">
        <f>9750000+11200000</f>
        <v>20950000</v>
      </c>
      <c r="S148" s="129">
        <v>0</v>
      </c>
      <c r="T148" s="255" t="s">
        <v>1828</v>
      </c>
      <c r="U148" s="240">
        <v>42661</v>
      </c>
    </row>
    <row r="149" spans="1:21" s="204" customFormat="1" ht="27" customHeight="1" hidden="1" outlineLevel="1">
      <c r="A149" s="274">
        <f>IF(B149&lt;&gt;"",SUBTOTAL(103,$D$7:$D149),"")</f>
      </c>
      <c r="B149" s="220">
        <f>IF(C149&lt;&gt;"",SUBTOTAL(103,$C$81:$C149),"")</f>
      </c>
      <c r="C149" s="245"/>
      <c r="D149" s="292"/>
      <c r="E149" s="244"/>
      <c r="F149" s="42"/>
      <c r="G149" s="42"/>
      <c r="H149" s="42"/>
      <c r="I149" s="42"/>
      <c r="J149" s="45"/>
      <c r="K149" s="128"/>
      <c r="L149" s="45">
        <v>42005</v>
      </c>
      <c r="M149" s="45">
        <v>42461</v>
      </c>
      <c r="N149" s="128">
        <f t="shared" si="7"/>
        <v>16</v>
      </c>
      <c r="O149" s="137">
        <v>1150000</v>
      </c>
      <c r="P149" s="129"/>
      <c r="Q149" s="129">
        <f>N149*O149*1.5</f>
        <v>27600000</v>
      </c>
      <c r="R149" s="129"/>
      <c r="S149" s="129"/>
      <c r="T149" s="255"/>
      <c r="U149" s="240"/>
    </row>
    <row r="150" spans="1:21" s="204" customFormat="1" ht="27" customHeight="1" hidden="1" outlineLevel="1">
      <c r="A150" s="274">
        <f>IF(B150&lt;&gt;"",SUBTOTAL(103,$D$7:$D150),"")</f>
      </c>
      <c r="B150" s="220">
        <f>IF(C150&lt;&gt;"",SUBTOTAL(103,$C$81:$C150),"")</f>
      </c>
      <c r="C150" s="245"/>
      <c r="D150" s="292"/>
      <c r="E150" s="244"/>
      <c r="F150" s="42"/>
      <c r="G150" s="42"/>
      <c r="H150" s="42"/>
      <c r="I150" s="42"/>
      <c r="J150" s="45"/>
      <c r="K150" s="128"/>
      <c r="L150" s="45">
        <v>42491</v>
      </c>
      <c r="M150" s="45">
        <v>42583</v>
      </c>
      <c r="N150" s="128">
        <f t="shared" si="7"/>
        <v>4</v>
      </c>
      <c r="O150" s="137">
        <v>1210000</v>
      </c>
      <c r="P150" s="129"/>
      <c r="Q150" s="129">
        <f>N150*O150*1.5</f>
        <v>7260000</v>
      </c>
      <c r="R150" s="129"/>
      <c r="S150" s="129"/>
      <c r="T150" s="255"/>
      <c r="U150" s="240"/>
    </row>
    <row r="151" spans="1:21" s="204" customFormat="1" ht="27" customHeight="1" collapsed="1">
      <c r="A151" s="274">
        <f>IF(B151&lt;&gt;"",SUBTOTAL(103,$D$7:$D151),"")</f>
        <v>71</v>
      </c>
      <c r="B151" s="220">
        <f>IF(C151&lt;&gt;"",SUBTOTAL(103,$C$81:$C151),"")</f>
        <v>35</v>
      </c>
      <c r="C151" s="245" t="s">
        <v>1637</v>
      </c>
      <c r="D151" s="47" t="s">
        <v>1829</v>
      </c>
      <c r="E151" s="244" t="s">
        <v>1604</v>
      </c>
      <c r="F151" s="42" t="s">
        <v>1830</v>
      </c>
      <c r="G151" s="42" t="s">
        <v>1198</v>
      </c>
      <c r="H151" s="42" t="s">
        <v>377</v>
      </c>
      <c r="I151" s="42" t="s">
        <v>1289</v>
      </c>
      <c r="J151" s="45">
        <v>42005</v>
      </c>
      <c r="K151" s="128">
        <v>0</v>
      </c>
      <c r="L151" s="45">
        <v>42005</v>
      </c>
      <c r="M151" s="45">
        <v>42583</v>
      </c>
      <c r="N151" s="128">
        <f t="shared" si="7"/>
        <v>20</v>
      </c>
      <c r="O151" s="137"/>
      <c r="P151" s="129">
        <f>Q151+R151+S151</f>
        <v>44160000</v>
      </c>
      <c r="Q151" s="129">
        <f>SUM(Q152:Q153)</f>
        <v>34860000</v>
      </c>
      <c r="R151" s="129">
        <v>9300000</v>
      </c>
      <c r="S151" s="129">
        <v>0</v>
      </c>
      <c r="T151" s="255" t="s">
        <v>1828</v>
      </c>
      <c r="U151" s="240">
        <v>42661</v>
      </c>
    </row>
    <row r="152" spans="1:21" s="204" customFormat="1" ht="27" customHeight="1" hidden="1" outlineLevel="1">
      <c r="A152" s="274">
        <f>IF(B152&lt;&gt;"",SUBTOTAL(103,$D$7:$D152),"")</f>
      </c>
      <c r="B152" s="220">
        <f>IF(C152&lt;&gt;"",SUBTOTAL(103,$C$81:$C152),"")</f>
      </c>
      <c r="C152" s="245"/>
      <c r="D152" s="292"/>
      <c r="E152" s="244"/>
      <c r="F152" s="42"/>
      <c r="G152" s="42"/>
      <c r="H152" s="42"/>
      <c r="I152" s="42"/>
      <c r="J152" s="45"/>
      <c r="K152" s="128"/>
      <c r="L152" s="45">
        <v>42005</v>
      </c>
      <c r="M152" s="45">
        <v>42461</v>
      </c>
      <c r="N152" s="128">
        <f t="shared" si="7"/>
        <v>16</v>
      </c>
      <c r="O152" s="137">
        <v>1150000</v>
      </c>
      <c r="P152" s="129"/>
      <c r="Q152" s="129">
        <f>N152*O152*1.5</f>
        <v>27600000</v>
      </c>
      <c r="R152" s="129"/>
      <c r="S152" s="129"/>
      <c r="T152" s="255"/>
      <c r="U152" s="240"/>
    </row>
    <row r="153" spans="1:21" s="204" customFormat="1" ht="27" customHeight="1" hidden="1" outlineLevel="1">
      <c r="A153" s="274">
        <f>IF(B153&lt;&gt;"",SUBTOTAL(103,$D$7:$D153),"")</f>
      </c>
      <c r="B153" s="220">
        <f>IF(C153&lt;&gt;"",SUBTOTAL(103,$C$81:$C153),"")</f>
      </c>
      <c r="C153" s="245"/>
      <c r="D153" s="292"/>
      <c r="E153" s="244"/>
      <c r="F153" s="42"/>
      <c r="G153" s="42"/>
      <c r="H153" s="42"/>
      <c r="I153" s="42"/>
      <c r="J153" s="45"/>
      <c r="K153" s="128"/>
      <c r="L153" s="45">
        <v>42491</v>
      </c>
      <c r="M153" s="45">
        <v>42583</v>
      </c>
      <c r="N153" s="128">
        <f t="shared" si="7"/>
        <v>4</v>
      </c>
      <c r="O153" s="137">
        <v>1210000</v>
      </c>
      <c r="P153" s="129"/>
      <c r="Q153" s="129">
        <f>N153*O153*1.5</f>
        <v>7260000</v>
      </c>
      <c r="R153" s="129"/>
      <c r="S153" s="129"/>
      <c r="T153" s="255"/>
      <c r="U153" s="240"/>
    </row>
    <row r="154" spans="1:21" s="204" customFormat="1" ht="27" customHeight="1" collapsed="1">
      <c r="A154" s="274">
        <f>IF(B154&lt;&gt;"",SUBTOTAL(103,$D$7:$D154),"")</f>
        <v>72</v>
      </c>
      <c r="B154" s="220">
        <f>IF(C154&lt;&gt;"",SUBTOTAL(103,$C$81:$C154),"")</f>
        <v>36</v>
      </c>
      <c r="C154" s="245" t="s">
        <v>1638</v>
      </c>
      <c r="D154" s="47" t="s">
        <v>1831</v>
      </c>
      <c r="E154" s="244" t="s">
        <v>1639</v>
      </c>
      <c r="F154" s="42" t="s">
        <v>1832</v>
      </c>
      <c r="G154" s="42" t="s">
        <v>1198</v>
      </c>
      <c r="H154" s="42" t="s">
        <v>1825</v>
      </c>
      <c r="I154" s="42" t="s">
        <v>252</v>
      </c>
      <c r="J154" s="45">
        <v>42005</v>
      </c>
      <c r="K154" s="128">
        <v>0</v>
      </c>
      <c r="L154" s="45">
        <v>42005</v>
      </c>
      <c r="M154" s="45">
        <v>42583</v>
      </c>
      <c r="N154" s="128">
        <f t="shared" si="7"/>
        <v>20</v>
      </c>
      <c r="O154" s="137"/>
      <c r="P154" s="129">
        <f>Q154+R154+S154</f>
        <v>52335000</v>
      </c>
      <c r="Q154" s="129">
        <f>SUM(Q155:Q156)</f>
        <v>34860000</v>
      </c>
      <c r="R154" s="129">
        <f>9225000+8250000</f>
        <v>17475000</v>
      </c>
      <c r="S154" s="129">
        <v>0</v>
      </c>
      <c r="T154" s="255" t="s">
        <v>1833</v>
      </c>
      <c r="U154" s="240">
        <v>42661</v>
      </c>
    </row>
    <row r="155" spans="1:21" s="204" customFormat="1" ht="27" customHeight="1" hidden="1" outlineLevel="1">
      <c r="A155" s="274">
        <f>IF(B155&lt;&gt;"",SUBTOTAL(103,$D$7:$D155),"")</f>
      </c>
      <c r="B155" s="220">
        <f>IF(C155&lt;&gt;"",SUBTOTAL(103,$C$81:$C155),"")</f>
      </c>
      <c r="C155" s="245"/>
      <c r="D155" s="292"/>
      <c r="E155" s="244"/>
      <c r="F155" s="42"/>
      <c r="G155" s="42"/>
      <c r="H155" s="42"/>
      <c r="I155" s="42"/>
      <c r="J155" s="45"/>
      <c r="K155" s="128"/>
      <c r="L155" s="45">
        <v>42005</v>
      </c>
      <c r="M155" s="45">
        <v>42461</v>
      </c>
      <c r="N155" s="128">
        <f t="shared" si="7"/>
        <v>16</v>
      </c>
      <c r="O155" s="137">
        <v>1150000</v>
      </c>
      <c r="P155" s="129"/>
      <c r="Q155" s="129">
        <f>N155*O155*1.5</f>
        <v>27600000</v>
      </c>
      <c r="R155" s="129"/>
      <c r="S155" s="129"/>
      <c r="T155" s="255"/>
      <c r="U155" s="240"/>
    </row>
    <row r="156" spans="1:21" s="204" customFormat="1" ht="27" customHeight="1" hidden="1" outlineLevel="1">
      <c r="A156" s="274">
        <f>IF(B156&lt;&gt;"",SUBTOTAL(103,$D$7:$D156),"")</f>
      </c>
      <c r="B156" s="220">
        <f>IF(C156&lt;&gt;"",SUBTOTAL(103,$C$81:$C156),"")</f>
      </c>
      <c r="C156" s="245"/>
      <c r="D156" s="292"/>
      <c r="E156" s="244"/>
      <c r="F156" s="42"/>
      <c r="G156" s="42"/>
      <c r="H156" s="42"/>
      <c r="I156" s="42"/>
      <c r="J156" s="45"/>
      <c r="K156" s="128"/>
      <c r="L156" s="45">
        <v>42491</v>
      </c>
      <c r="M156" s="45">
        <v>42583</v>
      </c>
      <c r="N156" s="128">
        <f t="shared" si="7"/>
        <v>4</v>
      </c>
      <c r="O156" s="137">
        <v>1210000</v>
      </c>
      <c r="P156" s="129"/>
      <c r="Q156" s="129">
        <f>N156*O156*1.5</f>
        <v>7260000</v>
      </c>
      <c r="R156" s="129"/>
      <c r="S156" s="129"/>
      <c r="T156" s="255"/>
      <c r="U156" s="240"/>
    </row>
    <row r="157" spans="1:21" s="204" customFormat="1" ht="27" customHeight="1" collapsed="1">
      <c r="A157" s="274">
        <f>IF(B157&lt;&gt;"",SUBTOTAL(103,$D$7:$D157),"")</f>
        <v>73</v>
      </c>
      <c r="B157" s="220">
        <f>IF(C157&lt;&gt;"",SUBTOTAL(103,$C$81:$C157),"")</f>
        <v>37</v>
      </c>
      <c r="C157" s="244" t="s">
        <v>1283</v>
      </c>
      <c r="D157" s="47" t="s">
        <v>1835</v>
      </c>
      <c r="E157" s="244" t="s">
        <v>1639</v>
      </c>
      <c r="F157" s="42" t="s">
        <v>1834</v>
      </c>
      <c r="G157" s="42" t="s">
        <v>1198</v>
      </c>
      <c r="H157" s="42" t="s">
        <v>1798</v>
      </c>
      <c r="I157" s="42" t="s">
        <v>252</v>
      </c>
      <c r="J157" s="45">
        <v>42005</v>
      </c>
      <c r="K157" s="128">
        <v>0</v>
      </c>
      <c r="L157" s="45">
        <v>42005</v>
      </c>
      <c r="M157" s="45">
        <v>42583</v>
      </c>
      <c r="N157" s="128">
        <f t="shared" si="7"/>
        <v>20</v>
      </c>
      <c r="O157" s="137"/>
      <c r="P157" s="129">
        <f>Q157+R157+S157</f>
        <v>52335000</v>
      </c>
      <c r="Q157" s="129">
        <f>SUM(Q158:Q159)</f>
        <v>34860000</v>
      </c>
      <c r="R157" s="129">
        <f>9225000+8250000</f>
        <v>17475000</v>
      </c>
      <c r="S157" s="129">
        <v>0</v>
      </c>
      <c r="T157" s="255" t="s">
        <v>1833</v>
      </c>
      <c r="U157" s="240">
        <v>42661</v>
      </c>
    </row>
    <row r="158" spans="1:21" s="204" customFormat="1" ht="27" customHeight="1" hidden="1" outlineLevel="1">
      <c r="A158" s="274">
        <f>IF(B158&lt;&gt;"",SUBTOTAL(103,$D$7:$D158),"")</f>
      </c>
      <c r="B158" s="220">
        <f>IF(C158&lt;&gt;"",SUBTOTAL(103,$C$81:$C158),"")</f>
      </c>
      <c r="C158" s="244"/>
      <c r="D158" s="47"/>
      <c r="E158" s="244"/>
      <c r="F158" s="42"/>
      <c r="G158" s="42"/>
      <c r="H158" s="42"/>
      <c r="I158" s="42"/>
      <c r="J158" s="45"/>
      <c r="K158" s="128"/>
      <c r="L158" s="45">
        <v>42005</v>
      </c>
      <c r="M158" s="45">
        <v>42461</v>
      </c>
      <c r="N158" s="128">
        <f t="shared" si="7"/>
        <v>16</v>
      </c>
      <c r="O158" s="137">
        <v>1150000</v>
      </c>
      <c r="P158" s="129"/>
      <c r="Q158" s="129">
        <f>N158*O158*1.5</f>
        <v>27600000</v>
      </c>
      <c r="R158" s="129"/>
      <c r="S158" s="129"/>
      <c r="T158" s="255"/>
      <c r="U158" s="240"/>
    </row>
    <row r="159" spans="1:21" s="204" customFormat="1" ht="27" customHeight="1" hidden="1" outlineLevel="1">
      <c r="A159" s="274">
        <f>IF(B159&lt;&gt;"",SUBTOTAL(103,$D$7:$D159),"")</f>
      </c>
      <c r="B159" s="220">
        <f>IF(C159&lt;&gt;"",SUBTOTAL(103,$C$81:$C159),"")</f>
      </c>
      <c r="C159" s="244"/>
      <c r="D159" s="47"/>
      <c r="E159" s="244"/>
      <c r="F159" s="42"/>
      <c r="G159" s="42"/>
      <c r="H159" s="42"/>
      <c r="I159" s="42"/>
      <c r="J159" s="45"/>
      <c r="K159" s="128"/>
      <c r="L159" s="45">
        <v>42491</v>
      </c>
      <c r="M159" s="45">
        <v>42583</v>
      </c>
      <c r="N159" s="128">
        <f t="shared" si="7"/>
        <v>4</v>
      </c>
      <c r="O159" s="137">
        <v>1210000</v>
      </c>
      <c r="P159" s="129"/>
      <c r="Q159" s="129">
        <f>N159*O159*1.5</f>
        <v>7260000</v>
      </c>
      <c r="R159" s="129"/>
      <c r="S159" s="129"/>
      <c r="T159" s="255"/>
      <c r="U159" s="240"/>
    </row>
    <row r="160" spans="1:21" s="204" customFormat="1" ht="27" customHeight="1" collapsed="1">
      <c r="A160" s="274">
        <f>IF(B160&lt;&gt;"",SUBTOTAL(103,$D$7:$D160),"")</f>
        <v>74</v>
      </c>
      <c r="B160" s="220">
        <f>IF(C160&lt;&gt;"",SUBTOTAL(103,$C$81:$C160),"")</f>
        <v>38</v>
      </c>
      <c r="C160" s="244" t="s">
        <v>1640</v>
      </c>
      <c r="D160" s="47" t="s">
        <v>1836</v>
      </c>
      <c r="E160" s="244" t="s">
        <v>1604</v>
      </c>
      <c r="F160" s="42" t="s">
        <v>1837</v>
      </c>
      <c r="G160" s="42" t="s">
        <v>1198</v>
      </c>
      <c r="H160" s="42" t="s">
        <v>1838</v>
      </c>
      <c r="I160" s="42" t="s">
        <v>1580</v>
      </c>
      <c r="J160" s="45">
        <v>42005</v>
      </c>
      <c r="K160" s="128">
        <v>0</v>
      </c>
      <c r="L160" s="45">
        <v>42005</v>
      </c>
      <c r="M160" s="45">
        <v>42583</v>
      </c>
      <c r="N160" s="128">
        <f t="shared" si="7"/>
        <v>20</v>
      </c>
      <c r="O160" s="137"/>
      <c r="P160" s="129">
        <f>Q160+R160+S160</f>
        <v>35760000</v>
      </c>
      <c r="Q160" s="129">
        <f>SUM(Q161:Q162)</f>
        <v>34860000</v>
      </c>
      <c r="R160" s="129">
        <v>900000</v>
      </c>
      <c r="S160" s="129">
        <v>0</v>
      </c>
      <c r="T160" s="255" t="s">
        <v>1842</v>
      </c>
      <c r="U160" s="240">
        <v>42661</v>
      </c>
    </row>
    <row r="161" spans="1:21" s="294" customFormat="1" ht="27" customHeight="1" hidden="1" outlineLevel="1">
      <c r="A161" s="274">
        <f>IF(B161&lt;&gt;"",SUBTOTAL(103,$D$7:$D161),"")</f>
      </c>
      <c r="B161" s="220">
        <f>IF(C161&lt;&gt;"",SUBTOTAL(103,$C$81:$C161),"")</f>
      </c>
      <c r="C161" s="143"/>
      <c r="D161" s="47"/>
      <c r="E161" s="306"/>
      <c r="F161" s="42"/>
      <c r="G161" s="42"/>
      <c r="H161" s="42"/>
      <c r="I161" s="42"/>
      <c r="J161" s="45"/>
      <c r="K161" s="128"/>
      <c r="L161" s="45">
        <v>42005</v>
      </c>
      <c r="M161" s="45">
        <v>42461</v>
      </c>
      <c r="N161" s="128">
        <f t="shared" si="7"/>
        <v>16</v>
      </c>
      <c r="O161" s="137">
        <v>1150000</v>
      </c>
      <c r="P161" s="129"/>
      <c r="Q161" s="129">
        <f>N161*O161*1.5</f>
        <v>27600000</v>
      </c>
      <c r="R161" s="129"/>
      <c r="S161" s="129"/>
      <c r="T161" s="255"/>
      <c r="U161" s="240"/>
    </row>
    <row r="162" spans="1:21" s="294" customFormat="1" ht="27" customHeight="1" hidden="1" outlineLevel="1">
      <c r="A162" s="274">
        <f>IF(B162&lt;&gt;"",SUBTOTAL(103,$D$7:$D162),"")</f>
      </c>
      <c r="B162" s="220">
        <f>IF(C162&lt;&gt;"",SUBTOTAL(103,$C$81:$C162),"")</f>
      </c>
      <c r="C162" s="143"/>
      <c r="D162" s="47"/>
      <c r="E162" s="306"/>
      <c r="F162" s="42"/>
      <c r="G162" s="42"/>
      <c r="H162" s="42"/>
      <c r="I162" s="42"/>
      <c r="J162" s="45"/>
      <c r="K162" s="128"/>
      <c r="L162" s="45">
        <v>42491</v>
      </c>
      <c r="M162" s="45">
        <v>42583</v>
      </c>
      <c r="N162" s="128">
        <f t="shared" si="7"/>
        <v>4</v>
      </c>
      <c r="O162" s="137">
        <v>1210000</v>
      </c>
      <c r="P162" s="129"/>
      <c r="Q162" s="129">
        <f>N162*O162*1.5</f>
        <v>7260000</v>
      </c>
      <c r="R162" s="129"/>
      <c r="S162" s="129"/>
      <c r="T162" s="255"/>
      <c r="U162" s="240"/>
    </row>
    <row r="163" spans="1:21" s="204" customFormat="1" ht="27" customHeight="1" collapsed="1">
      <c r="A163" s="274">
        <f>IF(B163&lt;&gt;"",SUBTOTAL(103,$D$7:$D163),"")</f>
        <v>75</v>
      </c>
      <c r="B163" s="220">
        <f>IF(C163&lt;&gt;"",SUBTOTAL(103,$C$81:$C163),"")</f>
        <v>39</v>
      </c>
      <c r="C163" s="244" t="s">
        <v>1290</v>
      </c>
      <c r="D163" s="47" t="s">
        <v>1839</v>
      </c>
      <c r="E163" s="244" t="s">
        <v>1629</v>
      </c>
      <c r="F163" s="42" t="s">
        <v>1840</v>
      </c>
      <c r="G163" s="42" t="s">
        <v>1198</v>
      </c>
      <c r="H163" s="42" t="s">
        <v>1841</v>
      </c>
      <c r="I163" s="42" t="s">
        <v>252</v>
      </c>
      <c r="J163" s="45">
        <v>42005</v>
      </c>
      <c r="K163" s="128">
        <v>0</v>
      </c>
      <c r="L163" s="45">
        <v>42005</v>
      </c>
      <c r="M163" s="45">
        <v>42583</v>
      </c>
      <c r="N163" s="128">
        <f t="shared" si="7"/>
        <v>20</v>
      </c>
      <c r="O163" s="137"/>
      <c r="P163" s="129">
        <f>Q163+R163+S163</f>
        <v>52335000</v>
      </c>
      <c r="Q163" s="129">
        <f>SUM(Q164:Q165)</f>
        <v>34860000</v>
      </c>
      <c r="R163" s="129">
        <f>8250000+9225000</f>
        <v>17475000</v>
      </c>
      <c r="S163" s="129">
        <v>0</v>
      </c>
      <c r="T163" s="255" t="s">
        <v>1842</v>
      </c>
      <c r="U163" s="240">
        <v>42661</v>
      </c>
    </row>
    <row r="164" spans="1:21" s="204" customFormat="1" ht="27" customHeight="1" hidden="1" outlineLevel="1">
      <c r="A164" s="274">
        <f>IF(B164&lt;&gt;"",SUBTOTAL(103,$D$7:$D164),"")</f>
      </c>
      <c r="B164" s="220">
        <f>IF(C164&lt;&gt;"",SUBTOTAL(103,$C$81:$C164),"")</f>
      </c>
      <c r="C164" s="244"/>
      <c r="D164" s="292"/>
      <c r="E164" s="244"/>
      <c r="F164" s="42"/>
      <c r="G164" s="42"/>
      <c r="H164" s="42"/>
      <c r="I164" s="42"/>
      <c r="J164" s="45"/>
      <c r="K164" s="128"/>
      <c r="L164" s="45">
        <v>42005</v>
      </c>
      <c r="M164" s="45">
        <v>42461</v>
      </c>
      <c r="N164" s="128">
        <f t="shared" si="7"/>
        <v>16</v>
      </c>
      <c r="O164" s="137">
        <v>1150000</v>
      </c>
      <c r="P164" s="129"/>
      <c r="Q164" s="129">
        <f>N164*O164*1.5</f>
        <v>27600000</v>
      </c>
      <c r="R164" s="129"/>
      <c r="S164" s="129"/>
      <c r="T164" s="255"/>
      <c r="U164" s="240"/>
    </row>
    <row r="165" spans="1:21" s="204" customFormat="1" ht="27" customHeight="1" hidden="1" outlineLevel="1">
      <c r="A165" s="274">
        <f>IF(B165&lt;&gt;"",SUBTOTAL(103,$D$7:$D165),"")</f>
      </c>
      <c r="B165" s="220">
        <f>IF(C165&lt;&gt;"",SUBTOTAL(103,$C$81:$C165),"")</f>
      </c>
      <c r="C165" s="244"/>
      <c r="D165" s="292"/>
      <c r="E165" s="244"/>
      <c r="F165" s="42"/>
      <c r="G165" s="42"/>
      <c r="H165" s="42"/>
      <c r="I165" s="42"/>
      <c r="J165" s="45"/>
      <c r="K165" s="128"/>
      <c r="L165" s="45">
        <v>42491</v>
      </c>
      <c r="M165" s="45">
        <v>42583</v>
      </c>
      <c r="N165" s="128">
        <f t="shared" si="7"/>
        <v>4</v>
      </c>
      <c r="O165" s="137">
        <v>1210000</v>
      </c>
      <c r="P165" s="129"/>
      <c r="Q165" s="129">
        <f>N165*O165*1.5</f>
        <v>7260000</v>
      </c>
      <c r="R165" s="129"/>
      <c r="S165" s="129"/>
      <c r="T165" s="255"/>
      <c r="U165" s="240"/>
    </row>
    <row r="166" spans="1:21" s="204" customFormat="1" ht="27" customHeight="1" collapsed="1">
      <c r="A166" s="274">
        <f>IF(B166&lt;&gt;"",SUBTOTAL(103,$D$7:$D166),"")</f>
        <v>76</v>
      </c>
      <c r="B166" s="220">
        <f>IF(C166&lt;&gt;"",SUBTOTAL(103,$C$81:$C166),"")</f>
        <v>40</v>
      </c>
      <c r="C166" s="244" t="s">
        <v>1641</v>
      </c>
      <c r="D166" s="47" t="s">
        <v>1843</v>
      </c>
      <c r="E166" s="244" t="s">
        <v>1642</v>
      </c>
      <c r="F166" s="42" t="s">
        <v>1844</v>
      </c>
      <c r="G166" s="42" t="s">
        <v>1198</v>
      </c>
      <c r="H166" s="42" t="s">
        <v>1845</v>
      </c>
      <c r="I166" s="42" t="s">
        <v>1846</v>
      </c>
      <c r="J166" s="45">
        <v>42005</v>
      </c>
      <c r="K166" s="128">
        <v>0</v>
      </c>
      <c r="L166" s="45">
        <v>42005</v>
      </c>
      <c r="M166" s="45">
        <v>42583</v>
      </c>
      <c r="N166" s="128">
        <f t="shared" si="7"/>
        <v>20</v>
      </c>
      <c r="O166" s="137"/>
      <c r="P166" s="129">
        <f>Q166+R166+S166</f>
        <v>52360000</v>
      </c>
      <c r="Q166" s="129">
        <f>SUM(Q167:Q168)</f>
        <v>34860000</v>
      </c>
      <c r="R166" s="129">
        <f>9150000+8350000</f>
        <v>17500000</v>
      </c>
      <c r="S166" s="129">
        <v>0</v>
      </c>
      <c r="T166" s="255" t="s">
        <v>1842</v>
      </c>
      <c r="U166" s="240">
        <v>42661</v>
      </c>
    </row>
    <row r="167" spans="1:21" s="204" customFormat="1" ht="27" customHeight="1" hidden="1" outlineLevel="1">
      <c r="A167" s="274">
        <f>IF(B167&lt;&gt;"",SUBTOTAL(103,$D$7:$D167),"")</f>
      </c>
      <c r="B167" s="220">
        <f>IF(C167&lt;&gt;"",SUBTOTAL(103,$C$81:$C167),"")</f>
      </c>
      <c r="C167" s="244"/>
      <c r="D167" s="292"/>
      <c r="E167" s="244"/>
      <c r="F167" s="42"/>
      <c r="G167" s="42"/>
      <c r="H167" s="42"/>
      <c r="I167" s="42"/>
      <c r="J167" s="45"/>
      <c r="K167" s="128"/>
      <c r="L167" s="45">
        <v>42005</v>
      </c>
      <c r="M167" s="45">
        <v>42461</v>
      </c>
      <c r="N167" s="128">
        <f t="shared" si="7"/>
        <v>16</v>
      </c>
      <c r="O167" s="137">
        <v>1150000</v>
      </c>
      <c r="P167" s="129"/>
      <c r="Q167" s="129">
        <f>N167*O167*1.5</f>
        <v>27600000</v>
      </c>
      <c r="R167" s="129"/>
      <c r="S167" s="129"/>
      <c r="T167" s="255"/>
      <c r="U167" s="240"/>
    </row>
    <row r="168" spans="1:21" s="204" customFormat="1" ht="27" customHeight="1" hidden="1" outlineLevel="1">
      <c r="A168" s="274">
        <f>IF(B168&lt;&gt;"",SUBTOTAL(103,$D$7:$D168),"")</f>
      </c>
      <c r="B168" s="220">
        <f>IF(C168&lt;&gt;"",SUBTOTAL(103,$C$81:$C168),"")</f>
      </c>
      <c r="C168" s="244"/>
      <c r="D168" s="292"/>
      <c r="E168" s="244"/>
      <c r="F168" s="42"/>
      <c r="G168" s="42"/>
      <c r="H168" s="42"/>
      <c r="I168" s="42"/>
      <c r="J168" s="45"/>
      <c r="K168" s="128"/>
      <c r="L168" s="45">
        <v>42491</v>
      </c>
      <c r="M168" s="45">
        <v>42583</v>
      </c>
      <c r="N168" s="128">
        <f t="shared" si="7"/>
        <v>4</v>
      </c>
      <c r="O168" s="137">
        <v>1210000</v>
      </c>
      <c r="P168" s="129"/>
      <c r="Q168" s="129">
        <f>N168*O168*1.5</f>
        <v>7260000</v>
      </c>
      <c r="R168" s="129"/>
      <c r="S168" s="129"/>
      <c r="T168" s="255"/>
      <c r="U168" s="240"/>
    </row>
    <row r="169" spans="1:21" s="204" customFormat="1" ht="27" customHeight="1" collapsed="1">
      <c r="A169" s="274">
        <f>IF(B169&lt;&gt;"",SUBTOTAL(103,$D$7:$D169),"")</f>
        <v>77</v>
      </c>
      <c r="B169" s="220">
        <f>IF(C169&lt;&gt;"",SUBTOTAL(103,$C$81:$C169),"")</f>
        <v>41</v>
      </c>
      <c r="C169" s="244" t="s">
        <v>1643</v>
      </c>
      <c r="D169" s="47" t="s">
        <v>1847</v>
      </c>
      <c r="E169" s="244" t="s">
        <v>1644</v>
      </c>
      <c r="F169" s="42" t="s">
        <v>1848</v>
      </c>
      <c r="G169" s="42" t="s">
        <v>1198</v>
      </c>
      <c r="H169" s="42" t="s">
        <v>1804</v>
      </c>
      <c r="I169" s="42" t="s">
        <v>1289</v>
      </c>
      <c r="J169" s="45">
        <v>41640</v>
      </c>
      <c r="K169" s="128">
        <v>0</v>
      </c>
      <c r="L169" s="45">
        <v>41640</v>
      </c>
      <c r="M169" s="45">
        <v>42217</v>
      </c>
      <c r="N169" s="128">
        <f t="shared" si="7"/>
        <v>20</v>
      </c>
      <c r="O169" s="137">
        <v>1150000</v>
      </c>
      <c r="P169" s="129">
        <f>Q169+R169+S169</f>
        <v>87225000</v>
      </c>
      <c r="Q169" s="129">
        <f>N169*O169*1.5</f>
        <v>34500000</v>
      </c>
      <c r="R169" s="129">
        <f>8475000+9750000</f>
        <v>18225000</v>
      </c>
      <c r="S169" s="129">
        <f>30*O169</f>
        <v>34500000</v>
      </c>
      <c r="T169" s="255" t="s">
        <v>2013</v>
      </c>
      <c r="U169" s="240">
        <v>42661</v>
      </c>
    </row>
    <row r="170" spans="1:21" s="204" customFormat="1" ht="27" customHeight="1">
      <c r="A170" s="274">
        <f>IF(B170&lt;&gt;"",SUBTOTAL(103,$D$7:$D170),"")</f>
        <v>78</v>
      </c>
      <c r="B170" s="220">
        <f>IF(C170&lt;&gt;"",SUBTOTAL(103,$C$81:$C170),"")</f>
        <v>42</v>
      </c>
      <c r="C170" s="244" t="s">
        <v>1645</v>
      </c>
      <c r="D170" s="47" t="s">
        <v>1849</v>
      </c>
      <c r="E170" s="244" t="s">
        <v>1644</v>
      </c>
      <c r="F170" s="42" t="s">
        <v>1850</v>
      </c>
      <c r="G170" s="42" t="s">
        <v>1198</v>
      </c>
      <c r="H170" s="42" t="s">
        <v>1769</v>
      </c>
      <c r="I170" s="42" t="s">
        <v>252</v>
      </c>
      <c r="J170" s="45">
        <v>42005</v>
      </c>
      <c r="K170" s="128">
        <v>0</v>
      </c>
      <c r="L170" s="45">
        <v>42005</v>
      </c>
      <c r="M170" s="45">
        <v>42583</v>
      </c>
      <c r="N170" s="128">
        <f t="shared" si="7"/>
        <v>20</v>
      </c>
      <c r="O170" s="137"/>
      <c r="P170" s="129">
        <f>Q170+R170+S170</f>
        <v>55635000</v>
      </c>
      <c r="Q170" s="129">
        <f>SUM(Q171:Q172)</f>
        <v>34860000</v>
      </c>
      <c r="R170" s="129">
        <f>9750000+11025000</f>
        <v>20775000</v>
      </c>
      <c r="S170" s="129">
        <v>0</v>
      </c>
      <c r="T170" s="255" t="s">
        <v>1851</v>
      </c>
      <c r="U170" s="240">
        <v>42661</v>
      </c>
    </row>
    <row r="171" spans="1:21" s="204" customFormat="1" ht="27" customHeight="1" hidden="1" outlineLevel="1">
      <c r="A171" s="274">
        <f>IF(B171&lt;&gt;"",SUBTOTAL(103,$D$7:$D171),"")</f>
      </c>
      <c r="B171" s="220">
        <f>IF(C171&lt;&gt;"",SUBTOTAL(103,$C$81:$C171),"")</f>
      </c>
      <c r="C171" s="244"/>
      <c r="D171" s="292"/>
      <c r="E171" s="244"/>
      <c r="F171" s="42"/>
      <c r="G171" s="42"/>
      <c r="H171" s="42"/>
      <c r="I171" s="42"/>
      <c r="J171" s="45"/>
      <c r="K171" s="128"/>
      <c r="L171" s="45">
        <v>42005</v>
      </c>
      <c r="M171" s="45">
        <v>42461</v>
      </c>
      <c r="N171" s="128">
        <f t="shared" si="7"/>
        <v>16</v>
      </c>
      <c r="O171" s="137">
        <v>1150000</v>
      </c>
      <c r="P171" s="129"/>
      <c r="Q171" s="129">
        <f>N171*O171*1.5</f>
        <v>27600000</v>
      </c>
      <c r="R171" s="129"/>
      <c r="S171" s="129"/>
      <c r="T171" s="255"/>
      <c r="U171" s="240"/>
    </row>
    <row r="172" spans="1:21" s="293" customFormat="1" ht="27" customHeight="1" hidden="1" outlineLevel="1">
      <c r="A172" s="274">
        <f>IF(B172&lt;&gt;"",SUBTOTAL(103,$D$7:$D172),"")</f>
      </c>
      <c r="B172" s="220">
        <f>IF(C172&lt;&gt;"",SUBTOTAL(103,$C$81:$C172),"")</f>
      </c>
      <c r="C172" s="205"/>
      <c r="D172" s="206"/>
      <c r="E172" s="46"/>
      <c r="F172" s="46"/>
      <c r="G172" s="46"/>
      <c r="H172" s="46"/>
      <c r="I172" s="46"/>
      <c r="J172" s="23"/>
      <c r="K172" s="128"/>
      <c r="L172" s="45">
        <v>42491</v>
      </c>
      <c r="M172" s="45">
        <v>42583</v>
      </c>
      <c r="N172" s="128">
        <f t="shared" si="7"/>
        <v>4</v>
      </c>
      <c r="O172" s="137">
        <v>1210000</v>
      </c>
      <c r="P172" s="129"/>
      <c r="Q172" s="129">
        <f>N172*O172*1.5</f>
        <v>7260000</v>
      </c>
      <c r="R172" s="129"/>
      <c r="S172" s="129"/>
      <c r="T172" s="255"/>
      <c r="U172" s="240"/>
    </row>
    <row r="173" spans="1:21" s="204" customFormat="1" ht="27" customHeight="1" collapsed="1">
      <c r="A173" s="274">
        <f>IF(B173&lt;&gt;"",SUBTOTAL(103,$D$7:$D173),"")</f>
        <v>79</v>
      </c>
      <c r="B173" s="220">
        <f>IF(C173&lt;&gt;"",SUBTOTAL(103,$C$81:$C173),"")</f>
        <v>43</v>
      </c>
      <c r="C173" s="244" t="s">
        <v>1646</v>
      </c>
      <c r="D173" s="47" t="s">
        <v>1852</v>
      </c>
      <c r="E173" s="244" t="s">
        <v>1644</v>
      </c>
      <c r="F173" s="42" t="s">
        <v>1853</v>
      </c>
      <c r="G173" s="42" t="s">
        <v>1198</v>
      </c>
      <c r="H173" s="42" t="s">
        <v>1769</v>
      </c>
      <c r="I173" s="42" t="s">
        <v>1285</v>
      </c>
      <c r="J173" s="45">
        <v>42005</v>
      </c>
      <c r="K173" s="128">
        <v>0</v>
      </c>
      <c r="L173" s="45">
        <v>42005</v>
      </c>
      <c r="M173" s="45">
        <v>42583</v>
      </c>
      <c r="N173" s="128">
        <f t="shared" si="7"/>
        <v>20</v>
      </c>
      <c r="O173" s="137"/>
      <c r="P173" s="129">
        <f>Q173+R173+S173</f>
        <v>51360000</v>
      </c>
      <c r="Q173" s="129">
        <f>SUM(Q174:Q175)</f>
        <v>34860000</v>
      </c>
      <c r="R173" s="129">
        <f>8250000+8250000</f>
        <v>16500000</v>
      </c>
      <c r="S173" s="129">
        <v>0</v>
      </c>
      <c r="T173" s="255" t="s">
        <v>1854</v>
      </c>
      <c r="U173" s="240">
        <v>42661</v>
      </c>
    </row>
    <row r="174" spans="1:21" s="204" customFormat="1" ht="27" customHeight="1" hidden="1" outlineLevel="1">
      <c r="A174" s="274">
        <f>IF(B174&lt;&gt;"",SUBTOTAL(103,$D$7:$D174),"")</f>
      </c>
      <c r="B174" s="220">
        <f>IF(C174&lt;&gt;"",SUBTOTAL(103,$C$81:$C174),"")</f>
      </c>
      <c r="C174" s="244"/>
      <c r="D174" s="292"/>
      <c r="E174" s="244"/>
      <c r="F174" s="42"/>
      <c r="G174" s="42"/>
      <c r="H174" s="42"/>
      <c r="I174" s="42"/>
      <c r="J174" s="45"/>
      <c r="K174" s="128"/>
      <c r="L174" s="45">
        <v>42005</v>
      </c>
      <c r="M174" s="45">
        <v>42461</v>
      </c>
      <c r="N174" s="128">
        <f t="shared" si="7"/>
        <v>16</v>
      </c>
      <c r="O174" s="137">
        <v>1150000</v>
      </c>
      <c r="P174" s="129"/>
      <c r="Q174" s="129">
        <f aca="true" t="shared" si="8" ref="Q174:Q179">N174*O174*1.5</f>
        <v>27600000</v>
      </c>
      <c r="R174" s="129"/>
      <c r="S174" s="129"/>
      <c r="T174" s="255"/>
      <c r="U174" s="240"/>
    </row>
    <row r="175" spans="1:21" s="204" customFormat="1" ht="27" customHeight="1" hidden="1" outlineLevel="1">
      <c r="A175" s="274">
        <f>IF(B175&lt;&gt;"",SUBTOTAL(103,$D$7:$D175),"")</f>
      </c>
      <c r="B175" s="220">
        <f>IF(C175&lt;&gt;"",SUBTOTAL(103,$C$81:$C175),"")</f>
      </c>
      <c r="C175" s="244"/>
      <c r="D175" s="292"/>
      <c r="E175" s="244"/>
      <c r="F175" s="42"/>
      <c r="G175" s="42"/>
      <c r="H175" s="42"/>
      <c r="I175" s="42"/>
      <c r="J175" s="23"/>
      <c r="K175" s="128"/>
      <c r="L175" s="45">
        <v>42491</v>
      </c>
      <c r="M175" s="45">
        <v>42583</v>
      </c>
      <c r="N175" s="128">
        <f t="shared" si="7"/>
        <v>4</v>
      </c>
      <c r="O175" s="137">
        <v>1210000</v>
      </c>
      <c r="P175" s="129"/>
      <c r="Q175" s="129">
        <f t="shared" si="8"/>
        <v>7260000</v>
      </c>
      <c r="R175" s="129"/>
      <c r="S175" s="129"/>
      <c r="T175" s="255"/>
      <c r="U175" s="240"/>
    </row>
    <row r="176" spans="1:21" s="204" customFormat="1" ht="27" customHeight="1" collapsed="1">
      <c r="A176" s="274">
        <f>IF(B176&lt;&gt;"",SUBTOTAL(103,$D$7:$D176),"")</f>
        <v>80</v>
      </c>
      <c r="B176" s="220">
        <f>IF(C176&lt;&gt;"",SUBTOTAL(103,$C$81:$C176),"")</f>
        <v>44</v>
      </c>
      <c r="C176" s="244" t="s">
        <v>1647</v>
      </c>
      <c r="D176" s="47" t="s">
        <v>1855</v>
      </c>
      <c r="E176" s="244" t="s">
        <v>1648</v>
      </c>
      <c r="F176" s="42" t="s">
        <v>1856</v>
      </c>
      <c r="G176" s="42" t="s">
        <v>1198</v>
      </c>
      <c r="H176" s="42" t="s">
        <v>1804</v>
      </c>
      <c r="I176" s="42" t="s">
        <v>252</v>
      </c>
      <c r="J176" s="45">
        <v>41640</v>
      </c>
      <c r="K176" s="128">
        <v>0</v>
      </c>
      <c r="L176" s="45">
        <v>41640</v>
      </c>
      <c r="M176" s="45">
        <v>42217</v>
      </c>
      <c r="N176" s="128">
        <f t="shared" si="7"/>
        <v>20</v>
      </c>
      <c r="O176" s="137">
        <v>1150000</v>
      </c>
      <c r="P176" s="129">
        <f>Q176+R176+S176</f>
        <v>87225000</v>
      </c>
      <c r="Q176" s="129">
        <f t="shared" si="8"/>
        <v>34500000</v>
      </c>
      <c r="R176" s="129">
        <f>7700000+10525000</f>
        <v>18225000</v>
      </c>
      <c r="S176" s="129">
        <f>30*O176</f>
        <v>34500000</v>
      </c>
      <c r="T176" s="255" t="s">
        <v>2014</v>
      </c>
      <c r="U176" s="240">
        <v>42661</v>
      </c>
    </row>
    <row r="177" spans="1:21" s="204" customFormat="1" ht="27" customHeight="1">
      <c r="A177" s="274">
        <f>IF(B177&lt;&gt;"",SUBTOTAL(103,$D$7:$D177),"")</f>
        <v>81</v>
      </c>
      <c r="B177" s="220">
        <f>IF(C177&lt;&gt;"",SUBTOTAL(103,$C$81:$C177),"")</f>
        <v>45</v>
      </c>
      <c r="C177" s="244" t="s">
        <v>1649</v>
      </c>
      <c r="D177" s="47" t="s">
        <v>1857</v>
      </c>
      <c r="E177" s="244" t="s">
        <v>1648</v>
      </c>
      <c r="F177" s="42" t="s">
        <v>1858</v>
      </c>
      <c r="G177" s="42" t="s">
        <v>1198</v>
      </c>
      <c r="H177" s="42" t="s">
        <v>1859</v>
      </c>
      <c r="I177" s="42" t="s">
        <v>1860</v>
      </c>
      <c r="J177" s="45">
        <v>41640</v>
      </c>
      <c r="K177" s="128">
        <v>0</v>
      </c>
      <c r="L177" s="45">
        <v>41640</v>
      </c>
      <c r="M177" s="45">
        <v>42217</v>
      </c>
      <c r="N177" s="128">
        <f t="shared" si="7"/>
        <v>20</v>
      </c>
      <c r="O177" s="137">
        <v>1150000</v>
      </c>
      <c r="P177" s="129">
        <f>Q177+R177+S177</f>
        <v>86325000</v>
      </c>
      <c r="Q177" s="129">
        <f t="shared" si="8"/>
        <v>34500000</v>
      </c>
      <c r="R177" s="129">
        <f>7275000+8250000</f>
        <v>15525000</v>
      </c>
      <c r="S177" s="129">
        <f>30*1210000</f>
        <v>36300000</v>
      </c>
      <c r="T177" s="255" t="s">
        <v>2015</v>
      </c>
      <c r="U177" s="240">
        <v>42662</v>
      </c>
    </row>
    <row r="178" spans="1:21" s="204" customFormat="1" ht="27" customHeight="1">
      <c r="A178" s="274">
        <f>IF(B178&lt;&gt;"",SUBTOTAL(103,$D$7:$D178),"")</f>
        <v>82</v>
      </c>
      <c r="B178" s="220">
        <f>IF(C178&lt;&gt;"",SUBTOTAL(103,$C$81:$C178),"")</f>
        <v>46</v>
      </c>
      <c r="C178" s="244" t="s">
        <v>1650</v>
      </c>
      <c r="D178" s="47" t="s">
        <v>1809</v>
      </c>
      <c r="E178" s="244" t="s">
        <v>1861</v>
      </c>
      <c r="F178" s="42" t="s">
        <v>1862</v>
      </c>
      <c r="G178" s="42" t="s">
        <v>1198</v>
      </c>
      <c r="H178" s="42" t="s">
        <v>1792</v>
      </c>
      <c r="I178" s="42" t="s">
        <v>252</v>
      </c>
      <c r="J178" s="45">
        <v>41640</v>
      </c>
      <c r="K178" s="128">
        <v>0</v>
      </c>
      <c r="L178" s="45">
        <v>41640</v>
      </c>
      <c r="M178" s="45">
        <v>42217</v>
      </c>
      <c r="N178" s="128">
        <f t="shared" si="7"/>
        <v>20</v>
      </c>
      <c r="O178" s="137">
        <v>1150000</v>
      </c>
      <c r="P178" s="129">
        <f>Q178+R178+S178</f>
        <v>87225000</v>
      </c>
      <c r="Q178" s="129">
        <f t="shared" si="8"/>
        <v>34500000</v>
      </c>
      <c r="R178" s="129">
        <f>7700000+10525000</f>
        <v>18225000</v>
      </c>
      <c r="S178" s="129">
        <f>30*O178</f>
        <v>34500000</v>
      </c>
      <c r="T178" s="255" t="s">
        <v>2016</v>
      </c>
      <c r="U178" s="240">
        <v>42662</v>
      </c>
    </row>
    <row r="179" spans="1:21" s="204" customFormat="1" ht="27" customHeight="1">
      <c r="A179" s="274">
        <f>IF(B179&lt;&gt;"",SUBTOTAL(103,$D$7:$D179),"")</f>
        <v>83</v>
      </c>
      <c r="B179" s="220">
        <f>IF(C179&lt;&gt;"",SUBTOTAL(103,$C$81:$C179),"")</f>
        <v>47</v>
      </c>
      <c r="C179" s="244" t="s">
        <v>1651</v>
      </c>
      <c r="D179" s="47" t="s">
        <v>1863</v>
      </c>
      <c r="E179" s="244" t="s">
        <v>1613</v>
      </c>
      <c r="F179" s="42" t="s">
        <v>1864</v>
      </c>
      <c r="G179" s="42" t="s">
        <v>1198</v>
      </c>
      <c r="H179" s="42" t="s">
        <v>1798</v>
      </c>
      <c r="I179" s="42" t="s">
        <v>524</v>
      </c>
      <c r="J179" s="45">
        <v>41640</v>
      </c>
      <c r="K179" s="128">
        <v>0</v>
      </c>
      <c r="L179" s="45">
        <v>41640</v>
      </c>
      <c r="M179" s="45">
        <v>42217</v>
      </c>
      <c r="N179" s="128">
        <f t="shared" si="7"/>
        <v>20</v>
      </c>
      <c r="O179" s="137">
        <v>1150000</v>
      </c>
      <c r="P179" s="129">
        <f>Q179+R179+S179</f>
        <v>85837500</v>
      </c>
      <c r="Q179" s="129">
        <f t="shared" si="8"/>
        <v>34500000</v>
      </c>
      <c r="R179" s="129">
        <f>8250000+6787500</f>
        <v>15037500</v>
      </c>
      <c r="S179" s="129">
        <f>30*1210000</f>
        <v>36300000</v>
      </c>
      <c r="T179" s="255" t="s">
        <v>2017</v>
      </c>
      <c r="U179" s="240">
        <v>42662</v>
      </c>
    </row>
    <row r="180" spans="1:21" s="204" customFormat="1" ht="27" customHeight="1">
      <c r="A180" s="274">
        <f>IF(B180&lt;&gt;"",SUBTOTAL(103,$D$7:$D180),"")</f>
        <v>84</v>
      </c>
      <c r="B180" s="220">
        <f>IF(C180&lt;&gt;"",SUBTOTAL(103,$C$81:$C180),"")</f>
        <v>48</v>
      </c>
      <c r="C180" s="244" t="s">
        <v>1652</v>
      </c>
      <c r="D180" s="47" t="s">
        <v>1865</v>
      </c>
      <c r="E180" s="244" t="s">
        <v>1653</v>
      </c>
      <c r="F180" s="42" t="s">
        <v>1866</v>
      </c>
      <c r="G180" s="42" t="s">
        <v>1198</v>
      </c>
      <c r="H180" s="42" t="s">
        <v>1804</v>
      </c>
      <c r="I180" s="42" t="s">
        <v>1289</v>
      </c>
      <c r="J180" s="45">
        <v>42005</v>
      </c>
      <c r="K180" s="128">
        <v>0</v>
      </c>
      <c r="L180" s="45">
        <v>42005</v>
      </c>
      <c r="M180" s="45">
        <v>42583</v>
      </c>
      <c r="N180" s="128">
        <f t="shared" si="7"/>
        <v>20</v>
      </c>
      <c r="O180" s="137"/>
      <c r="P180" s="129">
        <f>Q180+R180+S180</f>
        <v>46060000</v>
      </c>
      <c r="Q180" s="129">
        <f>SUM(Q181:Q182)</f>
        <v>34860000</v>
      </c>
      <c r="R180" s="129">
        <v>11200000</v>
      </c>
      <c r="S180" s="129">
        <v>0</v>
      </c>
      <c r="T180" s="255" t="s">
        <v>1867</v>
      </c>
      <c r="U180" s="240">
        <v>42662</v>
      </c>
    </row>
    <row r="181" spans="1:21" s="293" customFormat="1" ht="27" customHeight="1" hidden="1" outlineLevel="1">
      <c r="A181" s="274">
        <f>IF(B181&lt;&gt;"",SUBTOTAL(103,$D$7:$D181),"")</f>
      </c>
      <c r="B181" s="220">
        <f>IF(C181&lt;&gt;"",SUBTOTAL(103,$C$81:$C181),"")</f>
      </c>
      <c r="C181" s="205"/>
      <c r="D181" s="206"/>
      <c r="E181" s="46"/>
      <c r="F181" s="46"/>
      <c r="G181" s="46"/>
      <c r="H181" s="46"/>
      <c r="I181" s="46"/>
      <c r="J181" s="23"/>
      <c r="K181" s="24"/>
      <c r="L181" s="45">
        <v>42005</v>
      </c>
      <c r="M181" s="45">
        <v>42461</v>
      </c>
      <c r="N181" s="128">
        <f t="shared" si="7"/>
        <v>16</v>
      </c>
      <c r="O181" s="137">
        <v>1150000</v>
      </c>
      <c r="P181" s="129"/>
      <c r="Q181" s="129">
        <f aca="true" t="shared" si="9" ref="Q181:Q186">N181*O181*1.5</f>
        <v>27600000</v>
      </c>
      <c r="R181" s="129"/>
      <c r="S181" s="129"/>
      <c r="T181" s="255"/>
      <c r="U181" s="25"/>
    </row>
    <row r="182" spans="1:21" s="293" customFormat="1" ht="27" customHeight="1" hidden="1" outlineLevel="1">
      <c r="A182" s="274">
        <f>IF(B182&lt;&gt;"",SUBTOTAL(103,$D$7:$D182),"")</f>
      </c>
      <c r="B182" s="220">
        <f>IF(C182&lt;&gt;"",SUBTOTAL(103,$C$81:$C182),"")</f>
      </c>
      <c r="C182" s="205"/>
      <c r="D182" s="206"/>
      <c r="E182" s="46"/>
      <c r="F182" s="46"/>
      <c r="G182" s="46"/>
      <c r="H182" s="46"/>
      <c r="I182" s="46"/>
      <c r="J182" s="23"/>
      <c r="K182" s="24"/>
      <c r="L182" s="45">
        <v>42491</v>
      </c>
      <c r="M182" s="45">
        <v>42583</v>
      </c>
      <c r="N182" s="128">
        <f t="shared" si="7"/>
        <v>4</v>
      </c>
      <c r="O182" s="137">
        <v>1210000</v>
      </c>
      <c r="P182" s="129"/>
      <c r="Q182" s="129">
        <f t="shared" si="9"/>
        <v>7260000</v>
      </c>
      <c r="R182" s="129"/>
      <c r="S182" s="129"/>
      <c r="T182" s="255"/>
      <c r="U182" s="25"/>
    </row>
    <row r="183" spans="1:21" s="204" customFormat="1" ht="27" customHeight="1" collapsed="1">
      <c r="A183" s="274">
        <f>IF(B183&lt;&gt;"",SUBTOTAL(103,$D$7:$D183),"")</f>
        <v>85</v>
      </c>
      <c r="B183" s="220">
        <f>IF(C183&lt;&gt;"",SUBTOTAL(103,$C$81:$C183),"")</f>
        <v>49</v>
      </c>
      <c r="C183" s="244" t="s">
        <v>1654</v>
      </c>
      <c r="D183" s="47" t="s">
        <v>1868</v>
      </c>
      <c r="E183" s="244" t="s">
        <v>1655</v>
      </c>
      <c r="F183" s="42" t="s">
        <v>1869</v>
      </c>
      <c r="G183" s="42" t="s">
        <v>1198</v>
      </c>
      <c r="H183" s="42" t="s">
        <v>1859</v>
      </c>
      <c r="I183" s="42" t="s">
        <v>1816</v>
      </c>
      <c r="J183" s="45">
        <v>41640</v>
      </c>
      <c r="K183" s="128">
        <v>0</v>
      </c>
      <c r="L183" s="45">
        <v>41640</v>
      </c>
      <c r="M183" s="45">
        <v>42217</v>
      </c>
      <c r="N183" s="128">
        <f t="shared" si="7"/>
        <v>20</v>
      </c>
      <c r="O183" s="137">
        <v>1150000</v>
      </c>
      <c r="P183" s="129">
        <f>Q183+R183+S183</f>
        <v>81775000</v>
      </c>
      <c r="Q183" s="129">
        <f t="shared" si="9"/>
        <v>34500000</v>
      </c>
      <c r="R183" s="129">
        <f>3700000+4875000+4200000</f>
        <v>12775000</v>
      </c>
      <c r="S183" s="129">
        <f>30*O183</f>
        <v>34500000</v>
      </c>
      <c r="T183" s="255" t="s">
        <v>2018</v>
      </c>
      <c r="U183" s="240">
        <v>42662</v>
      </c>
    </row>
    <row r="184" spans="1:21" s="204" customFormat="1" ht="27" customHeight="1" collapsed="1">
      <c r="A184" s="274">
        <f>IF(B184&lt;&gt;"",SUBTOTAL(103,$D$7:$D184),"")</f>
        <v>86</v>
      </c>
      <c r="B184" s="220">
        <f>IF(C184&lt;&gt;"",SUBTOTAL(103,$C$81:$C184),"")</f>
        <v>50</v>
      </c>
      <c r="C184" s="244" t="s">
        <v>1128</v>
      </c>
      <c r="D184" s="47" t="s">
        <v>1129</v>
      </c>
      <c r="E184" s="244" t="s">
        <v>2148</v>
      </c>
      <c r="F184" s="42" t="s">
        <v>1131</v>
      </c>
      <c r="G184" s="42" t="s">
        <v>341</v>
      </c>
      <c r="H184" s="42" t="s">
        <v>820</v>
      </c>
      <c r="I184" s="42" t="s">
        <v>685</v>
      </c>
      <c r="J184" s="45">
        <v>41244</v>
      </c>
      <c r="K184" s="128">
        <v>30</v>
      </c>
      <c r="L184" s="362"/>
      <c r="M184" s="363"/>
      <c r="N184" s="128">
        <v>0</v>
      </c>
      <c r="O184" s="137">
        <v>1150000</v>
      </c>
      <c r="P184" s="129">
        <f>Q184+R184+S184</f>
        <v>28750000</v>
      </c>
      <c r="Q184" s="129">
        <f t="shared" si="9"/>
        <v>0</v>
      </c>
      <c r="R184" s="129">
        <v>28750000</v>
      </c>
      <c r="S184" s="129">
        <v>0</v>
      </c>
      <c r="T184" s="255" t="s">
        <v>1870</v>
      </c>
      <c r="U184" s="240">
        <v>42662</v>
      </c>
    </row>
    <row r="185" spans="1:21" s="204" customFormat="1" ht="27" customHeight="1">
      <c r="A185" s="274">
        <f>IF(B185&lt;&gt;"",SUBTOTAL(103,$D$7:$D185),"")</f>
        <v>87</v>
      </c>
      <c r="B185" s="220">
        <f>IF(C185&lt;&gt;"",SUBTOTAL(103,$C$81:$C185),"")</f>
        <v>51</v>
      </c>
      <c r="C185" s="244" t="s">
        <v>1656</v>
      </c>
      <c r="D185" s="47" t="s">
        <v>1871</v>
      </c>
      <c r="E185" s="244" t="s">
        <v>1657</v>
      </c>
      <c r="F185" s="42" t="s">
        <v>1872</v>
      </c>
      <c r="G185" s="42" t="s">
        <v>1198</v>
      </c>
      <c r="H185" s="42" t="s">
        <v>1859</v>
      </c>
      <c r="I185" s="42" t="s">
        <v>1860</v>
      </c>
      <c r="J185" s="45">
        <v>41640</v>
      </c>
      <c r="K185" s="128">
        <v>0</v>
      </c>
      <c r="L185" s="45">
        <v>41640</v>
      </c>
      <c r="M185" s="45">
        <v>42217</v>
      </c>
      <c r="N185" s="128">
        <f>DATEDIF(L185,M185,"m")+1</f>
        <v>20</v>
      </c>
      <c r="O185" s="137">
        <v>1150000</v>
      </c>
      <c r="P185" s="129">
        <f>Q185+R185+S185</f>
        <v>86325000</v>
      </c>
      <c r="Q185" s="129">
        <f t="shared" si="9"/>
        <v>34500000</v>
      </c>
      <c r="R185" s="129">
        <f>8250000+7275000</f>
        <v>15525000</v>
      </c>
      <c r="S185" s="129">
        <f>30*1210000</f>
        <v>36300000</v>
      </c>
      <c r="T185" s="255" t="s">
        <v>2019</v>
      </c>
      <c r="U185" s="240">
        <v>42662</v>
      </c>
    </row>
    <row r="186" spans="1:21" s="204" customFormat="1" ht="27" customHeight="1">
      <c r="A186" s="274">
        <f>IF(B186&lt;&gt;"",SUBTOTAL(103,$D$7:$D186),"")</f>
        <v>88</v>
      </c>
      <c r="B186" s="220">
        <f>IF(C186&lt;&gt;"",SUBTOTAL(103,$C$81:$C186),"")</f>
        <v>52</v>
      </c>
      <c r="C186" s="244" t="s">
        <v>1658</v>
      </c>
      <c r="D186" s="47" t="s">
        <v>1873</v>
      </c>
      <c r="E186" s="244" t="s">
        <v>1659</v>
      </c>
      <c r="F186" s="42" t="s">
        <v>1874</v>
      </c>
      <c r="G186" s="42" t="s">
        <v>1198</v>
      </c>
      <c r="H186" s="42" t="s">
        <v>1383</v>
      </c>
      <c r="I186" s="42" t="s">
        <v>1875</v>
      </c>
      <c r="J186" s="45">
        <v>41640</v>
      </c>
      <c r="K186" s="128">
        <v>0</v>
      </c>
      <c r="L186" s="45">
        <v>41640</v>
      </c>
      <c r="M186" s="45">
        <v>42217</v>
      </c>
      <c r="N186" s="128">
        <f>DATEDIF(L186,M186,"m")+1</f>
        <v>20</v>
      </c>
      <c r="O186" s="137">
        <v>1150000</v>
      </c>
      <c r="P186" s="129">
        <f>Q186+R186+S186</f>
        <v>90087500</v>
      </c>
      <c r="Q186" s="129">
        <f t="shared" si="9"/>
        <v>34500000</v>
      </c>
      <c r="R186" s="129">
        <f>9000000+10287500</f>
        <v>19287500</v>
      </c>
      <c r="S186" s="129">
        <f>30*1210000</f>
        <v>36300000</v>
      </c>
      <c r="T186" s="255" t="s">
        <v>2020</v>
      </c>
      <c r="U186" s="240">
        <v>42662</v>
      </c>
    </row>
    <row r="187" spans="1:21" s="204" customFormat="1" ht="27" customHeight="1">
      <c r="A187" s="274">
        <f>IF(B187&lt;&gt;"",SUBTOTAL(103,$D$7:$D187),"")</f>
        <v>89</v>
      </c>
      <c r="B187" s="220">
        <f>IF(C187&lt;&gt;"",SUBTOTAL(103,$C$81:$C187),"")</f>
        <v>53</v>
      </c>
      <c r="C187" s="244" t="s">
        <v>969</v>
      </c>
      <c r="D187" s="47" t="s">
        <v>970</v>
      </c>
      <c r="E187" s="244" t="s">
        <v>2147</v>
      </c>
      <c r="F187" s="42" t="s">
        <v>971</v>
      </c>
      <c r="G187" s="42" t="s">
        <v>341</v>
      </c>
      <c r="H187" s="42" t="s">
        <v>157</v>
      </c>
      <c r="I187" s="42" t="s">
        <v>968</v>
      </c>
      <c r="J187" s="45">
        <v>41640</v>
      </c>
      <c r="K187" s="128">
        <v>20</v>
      </c>
      <c r="L187" s="45">
        <v>42370</v>
      </c>
      <c r="M187" s="45">
        <v>42644</v>
      </c>
      <c r="N187" s="128">
        <f>DATEDIF(L187,M187,"m")+1</f>
        <v>10</v>
      </c>
      <c r="O187" s="137">
        <v>1150000</v>
      </c>
      <c r="P187" s="129">
        <f>Q187+R187+S187</f>
        <v>32415000</v>
      </c>
      <c r="Q187" s="129">
        <f>SUM(Q188:Q189)</f>
        <v>17790000</v>
      </c>
      <c r="R187" s="129">
        <v>14625000</v>
      </c>
      <c r="S187" s="129">
        <v>0</v>
      </c>
      <c r="T187" s="255" t="s">
        <v>1876</v>
      </c>
      <c r="U187" s="240">
        <v>42662</v>
      </c>
    </row>
    <row r="188" spans="1:21" s="293" customFormat="1" ht="27" customHeight="1" hidden="1" outlineLevel="1">
      <c r="A188" s="274">
        <f>IF(B188&lt;&gt;"",SUBTOTAL(103,$D$7:$D188),"")</f>
      </c>
      <c r="B188" s="220">
        <f>IF(C188&lt;&gt;"",SUBTOTAL(103,$C$81:$C188),"")</f>
      </c>
      <c r="C188" s="205"/>
      <c r="D188" s="206"/>
      <c r="E188" s="46"/>
      <c r="F188" s="46"/>
      <c r="G188" s="46"/>
      <c r="H188" s="46"/>
      <c r="I188" s="46"/>
      <c r="J188" s="23"/>
      <c r="K188" s="24"/>
      <c r="L188" s="45">
        <v>42370</v>
      </c>
      <c r="M188" s="45">
        <v>42461</v>
      </c>
      <c r="N188" s="128">
        <f>DATEDIF(L188,M188,"m")+1</f>
        <v>4</v>
      </c>
      <c r="O188" s="137">
        <v>1150000</v>
      </c>
      <c r="P188" s="129"/>
      <c r="Q188" s="129">
        <f>N188*O188*1.5</f>
        <v>6900000</v>
      </c>
      <c r="R188" s="16"/>
      <c r="S188" s="16"/>
      <c r="T188" s="253"/>
      <c r="U188" s="25"/>
    </row>
    <row r="189" spans="1:21" s="293" customFormat="1" ht="27" customHeight="1" hidden="1" outlineLevel="1">
      <c r="A189" s="274">
        <f>IF(B189&lt;&gt;"",SUBTOTAL(103,$D$7:$D189),"")</f>
      </c>
      <c r="B189" s="220">
        <f>IF(C189&lt;&gt;"",SUBTOTAL(103,$C$81:$C189),"")</f>
      </c>
      <c r="C189" s="205"/>
      <c r="D189" s="206"/>
      <c r="E189" s="46"/>
      <c r="F189" s="46"/>
      <c r="G189" s="46"/>
      <c r="H189" s="46"/>
      <c r="I189" s="46"/>
      <c r="J189" s="23"/>
      <c r="K189" s="24"/>
      <c r="L189" s="45">
        <v>42491</v>
      </c>
      <c r="M189" s="45">
        <v>42644</v>
      </c>
      <c r="N189" s="128">
        <f>DATEDIF(L189,M189,"m")+1</f>
        <v>6</v>
      </c>
      <c r="O189" s="137">
        <v>1210000</v>
      </c>
      <c r="P189" s="129"/>
      <c r="Q189" s="129">
        <f>N189*O189*1.5</f>
        <v>10890000</v>
      </c>
      <c r="R189" s="16"/>
      <c r="S189" s="16"/>
      <c r="T189" s="253"/>
      <c r="U189" s="25"/>
    </row>
    <row r="190" spans="1:21" s="204" customFormat="1" ht="27" customHeight="1" collapsed="1">
      <c r="A190" s="274">
        <f>IF(B190&lt;&gt;"",SUBTOTAL(103,$D$7:$D190),"")</f>
        <v>90</v>
      </c>
      <c r="B190" s="220">
        <f>IF(C190&lt;&gt;"",SUBTOTAL(103,$C$81:$C190),"")</f>
        <v>54</v>
      </c>
      <c r="C190" s="244" t="s">
        <v>966</v>
      </c>
      <c r="D190" s="47" t="s">
        <v>666</v>
      </c>
      <c r="E190" s="244" t="s">
        <v>1877</v>
      </c>
      <c r="F190" s="42" t="s">
        <v>967</v>
      </c>
      <c r="G190" s="42" t="s">
        <v>341</v>
      </c>
      <c r="H190" s="42" t="s">
        <v>157</v>
      </c>
      <c r="I190" s="42" t="s">
        <v>968</v>
      </c>
      <c r="J190" s="45">
        <v>41640</v>
      </c>
      <c r="K190" s="128">
        <v>20</v>
      </c>
      <c r="L190" s="45">
        <v>42370</v>
      </c>
      <c r="M190" s="45">
        <v>42644</v>
      </c>
      <c r="N190" s="128">
        <f aca="true" t="shared" si="10" ref="N190:N253">DATEDIF(L190,M190,"m")+1</f>
        <v>10</v>
      </c>
      <c r="O190" s="137">
        <v>1150000</v>
      </c>
      <c r="P190" s="129">
        <f>Q190+R190+S190</f>
        <v>32415000</v>
      </c>
      <c r="Q190" s="129">
        <f>SUM(Q191:Q192)</f>
        <v>17790000</v>
      </c>
      <c r="R190" s="129">
        <v>14625000</v>
      </c>
      <c r="S190" s="129">
        <v>0</v>
      </c>
      <c r="T190" s="255" t="s">
        <v>1876</v>
      </c>
      <c r="U190" s="240">
        <v>42662</v>
      </c>
    </row>
    <row r="191" spans="1:21" s="204" customFormat="1" ht="27" customHeight="1" hidden="1" outlineLevel="1">
      <c r="A191" s="274">
        <f>IF(B191&lt;&gt;"",SUBTOTAL(103,$D$7:$D191),"")</f>
      </c>
      <c r="B191" s="220">
        <f>IF(C191&lt;&gt;"",SUBTOTAL(103,$C$81:$C191),"")</f>
      </c>
      <c r="C191" s="244"/>
      <c r="D191" s="292"/>
      <c r="E191" s="244"/>
      <c r="F191" s="42"/>
      <c r="G191" s="42"/>
      <c r="H191" s="42"/>
      <c r="I191" s="42"/>
      <c r="J191" s="23"/>
      <c r="K191" s="24"/>
      <c r="L191" s="45">
        <v>42370</v>
      </c>
      <c r="M191" s="45">
        <v>42461</v>
      </c>
      <c r="N191" s="128">
        <f t="shared" si="10"/>
        <v>4</v>
      </c>
      <c r="O191" s="137">
        <v>1150000</v>
      </c>
      <c r="P191" s="129"/>
      <c r="Q191" s="129">
        <f>N191*O191*1.5</f>
        <v>6900000</v>
      </c>
      <c r="R191" s="16"/>
      <c r="S191" s="16"/>
      <c r="T191" s="253"/>
      <c r="U191" s="25"/>
    </row>
    <row r="192" spans="1:21" s="204" customFormat="1" ht="27" customHeight="1" hidden="1" outlineLevel="1">
      <c r="A192" s="274">
        <f>IF(B192&lt;&gt;"",SUBTOTAL(103,$D$7:$D192),"")</f>
      </c>
      <c r="B192" s="220">
        <f>IF(C192&lt;&gt;"",SUBTOTAL(103,$C$81:$C192),"")</f>
      </c>
      <c r="C192" s="244"/>
      <c r="D192" s="292"/>
      <c r="E192" s="244"/>
      <c r="F192" s="42"/>
      <c r="G192" s="42"/>
      <c r="H192" s="42"/>
      <c r="I192" s="42"/>
      <c r="J192" s="23"/>
      <c r="K192" s="24"/>
      <c r="L192" s="45">
        <v>42491</v>
      </c>
      <c r="M192" s="45">
        <v>42644</v>
      </c>
      <c r="N192" s="128">
        <f t="shared" si="10"/>
        <v>6</v>
      </c>
      <c r="O192" s="137">
        <v>1210000</v>
      </c>
      <c r="P192" s="129"/>
      <c r="Q192" s="129">
        <f>N192*O192*1.5</f>
        <v>10890000</v>
      </c>
      <c r="R192" s="16"/>
      <c r="S192" s="16"/>
      <c r="T192" s="253"/>
      <c r="U192" s="25"/>
    </row>
    <row r="193" spans="1:21" s="204" customFormat="1" ht="27" customHeight="1" collapsed="1">
      <c r="A193" s="274">
        <f>IF(B193&lt;&gt;"",SUBTOTAL(103,$D$7:$D193),"")</f>
        <v>91</v>
      </c>
      <c r="B193" s="220">
        <f>IF(C193&lt;&gt;"",SUBTOTAL(103,$C$81:$C193),"")</f>
        <v>55</v>
      </c>
      <c r="C193" s="244" t="s">
        <v>1660</v>
      </c>
      <c r="D193" s="47" t="s">
        <v>1878</v>
      </c>
      <c r="E193" s="244" t="s">
        <v>1661</v>
      </c>
      <c r="F193" s="42" t="s">
        <v>1879</v>
      </c>
      <c r="G193" s="42" t="s">
        <v>1198</v>
      </c>
      <c r="H193" s="42" t="s">
        <v>1845</v>
      </c>
      <c r="I193" s="42" t="s">
        <v>1880</v>
      </c>
      <c r="J193" s="45">
        <v>42005</v>
      </c>
      <c r="K193" s="128">
        <v>0</v>
      </c>
      <c r="L193" s="45">
        <v>42005</v>
      </c>
      <c r="M193" s="45">
        <v>42583</v>
      </c>
      <c r="N193" s="128">
        <f t="shared" si="10"/>
        <v>20</v>
      </c>
      <c r="O193" s="137"/>
      <c r="P193" s="129">
        <f>Q193+R193+S193</f>
        <v>52360000</v>
      </c>
      <c r="Q193" s="129">
        <f>SUM(Q194:Q195)</f>
        <v>34860000</v>
      </c>
      <c r="R193" s="129">
        <f>8350000+9150000</f>
        <v>17500000</v>
      </c>
      <c r="S193" s="129">
        <v>0</v>
      </c>
      <c r="T193" s="255" t="s">
        <v>1881</v>
      </c>
      <c r="U193" s="240">
        <v>42662</v>
      </c>
    </row>
    <row r="194" spans="1:21" s="204" customFormat="1" ht="27" customHeight="1" hidden="1" outlineLevel="1">
      <c r="A194" s="274">
        <f>IF(B194&lt;&gt;"",SUBTOTAL(103,$D$7:$D194),"")</f>
      </c>
      <c r="B194" s="220">
        <f>IF(C194&lt;&gt;"",SUBTOTAL(103,$C$81:$C194),"")</f>
      </c>
      <c r="C194" s="244"/>
      <c r="D194" s="292"/>
      <c r="E194" s="244"/>
      <c r="F194" s="42"/>
      <c r="G194" s="42"/>
      <c r="H194" s="42"/>
      <c r="I194" s="42"/>
      <c r="J194" s="45"/>
      <c r="K194" s="24"/>
      <c r="L194" s="45">
        <v>42005</v>
      </c>
      <c r="M194" s="45">
        <v>42461</v>
      </c>
      <c r="N194" s="128">
        <f t="shared" si="10"/>
        <v>16</v>
      </c>
      <c r="O194" s="137">
        <v>1150000</v>
      </c>
      <c r="P194" s="129"/>
      <c r="Q194" s="129">
        <f>N194*O194*1.5</f>
        <v>27600000</v>
      </c>
      <c r="R194" s="129"/>
      <c r="S194" s="129"/>
      <c r="T194" s="255"/>
      <c r="U194" s="25"/>
    </row>
    <row r="195" spans="1:21" s="204" customFormat="1" ht="27" customHeight="1" hidden="1" outlineLevel="1">
      <c r="A195" s="274">
        <f>IF(B195&lt;&gt;"",SUBTOTAL(103,$D$7:$D195),"")</f>
      </c>
      <c r="B195" s="220">
        <f>IF(C195&lt;&gt;"",SUBTOTAL(103,$C$81:$C195),"")</f>
      </c>
      <c r="C195" s="244"/>
      <c r="D195" s="292"/>
      <c r="E195" s="244"/>
      <c r="F195" s="42"/>
      <c r="G195" s="42"/>
      <c r="H195" s="42"/>
      <c r="I195" s="42"/>
      <c r="J195" s="45"/>
      <c r="K195" s="24"/>
      <c r="L195" s="45">
        <v>42491</v>
      </c>
      <c r="M195" s="45">
        <v>42583</v>
      </c>
      <c r="N195" s="128">
        <f t="shared" si="10"/>
        <v>4</v>
      </c>
      <c r="O195" s="137">
        <v>1210000</v>
      </c>
      <c r="P195" s="129"/>
      <c r="Q195" s="129">
        <f>N195*O195*1.5</f>
        <v>7260000</v>
      </c>
      <c r="R195" s="129"/>
      <c r="S195" s="129"/>
      <c r="T195" s="255"/>
      <c r="U195" s="25"/>
    </row>
    <row r="196" spans="1:21" s="204" customFormat="1" ht="27" customHeight="1" collapsed="1">
      <c r="A196" s="274">
        <f>IF(B196&lt;&gt;"",SUBTOTAL(103,$D$7:$D196),"")</f>
        <v>92</v>
      </c>
      <c r="B196" s="220">
        <f>IF(C196&lt;&gt;"",SUBTOTAL(103,$C$81:$C196),"")</f>
        <v>56</v>
      </c>
      <c r="C196" s="244" t="s">
        <v>1662</v>
      </c>
      <c r="D196" s="47" t="s">
        <v>1882</v>
      </c>
      <c r="E196" s="244" t="s">
        <v>1602</v>
      </c>
      <c r="F196" s="42" t="s">
        <v>1883</v>
      </c>
      <c r="G196" s="42" t="s">
        <v>1198</v>
      </c>
      <c r="H196" s="42" t="s">
        <v>1792</v>
      </c>
      <c r="I196" s="42" t="s">
        <v>1289</v>
      </c>
      <c r="J196" s="45">
        <v>42005</v>
      </c>
      <c r="K196" s="128">
        <v>0</v>
      </c>
      <c r="L196" s="45">
        <v>42005</v>
      </c>
      <c r="M196" s="45">
        <v>42583</v>
      </c>
      <c r="N196" s="128">
        <f t="shared" si="10"/>
        <v>20</v>
      </c>
      <c r="O196" s="137"/>
      <c r="P196" s="129">
        <f>Q196+R196+S196</f>
        <v>44610000</v>
      </c>
      <c r="Q196" s="129">
        <f>SUM(Q197:Q198)</f>
        <v>34860000</v>
      </c>
      <c r="R196" s="129">
        <v>9750000</v>
      </c>
      <c r="S196" s="129">
        <v>0</v>
      </c>
      <c r="T196" s="255" t="s">
        <v>1881</v>
      </c>
      <c r="U196" s="240">
        <v>42662</v>
      </c>
    </row>
    <row r="197" spans="1:21" s="204" customFormat="1" ht="27" customHeight="1" hidden="1" outlineLevel="1">
      <c r="A197" s="274">
        <f>IF(B197&lt;&gt;"",SUBTOTAL(103,$D$7:$D197),"")</f>
      </c>
      <c r="B197" s="220">
        <f>IF(C197&lt;&gt;"",SUBTOTAL(103,$C$81:$C197),"")</f>
      </c>
      <c r="C197" s="244"/>
      <c r="D197" s="292"/>
      <c r="E197" s="244"/>
      <c r="F197" s="42"/>
      <c r="G197" s="42"/>
      <c r="H197" s="42"/>
      <c r="I197" s="42"/>
      <c r="J197" s="45"/>
      <c r="K197" s="24"/>
      <c r="L197" s="45">
        <v>42005</v>
      </c>
      <c r="M197" s="45">
        <v>42461</v>
      </c>
      <c r="N197" s="128">
        <f t="shared" si="10"/>
        <v>16</v>
      </c>
      <c r="O197" s="137">
        <v>1150000</v>
      </c>
      <c r="P197" s="129"/>
      <c r="Q197" s="129">
        <f>N197*O197*1.5</f>
        <v>27600000</v>
      </c>
      <c r="R197" s="129"/>
      <c r="S197" s="129"/>
      <c r="T197" s="255"/>
      <c r="U197" s="240"/>
    </row>
    <row r="198" spans="1:21" s="204" customFormat="1" ht="27" customHeight="1" hidden="1" outlineLevel="1">
      <c r="A198" s="274">
        <f>IF(B198&lt;&gt;"",SUBTOTAL(103,$D$7:$D198),"")</f>
      </c>
      <c r="B198" s="220">
        <f>IF(C198&lt;&gt;"",SUBTOTAL(103,$C$81:$C198),"")</f>
      </c>
      <c r="C198" s="244"/>
      <c r="D198" s="292"/>
      <c r="E198" s="244"/>
      <c r="F198" s="42"/>
      <c r="G198" s="42"/>
      <c r="H198" s="42"/>
      <c r="I198" s="42"/>
      <c r="J198" s="45"/>
      <c r="K198" s="24"/>
      <c r="L198" s="45">
        <v>42491</v>
      </c>
      <c r="M198" s="45">
        <v>42583</v>
      </c>
      <c r="N198" s="128">
        <f t="shared" si="10"/>
        <v>4</v>
      </c>
      <c r="O198" s="137">
        <v>1210000</v>
      </c>
      <c r="P198" s="129"/>
      <c r="Q198" s="129">
        <f>N198*O198*1.5</f>
        <v>7260000</v>
      </c>
      <c r="R198" s="129"/>
      <c r="S198" s="129"/>
      <c r="T198" s="255"/>
      <c r="U198" s="240"/>
    </row>
    <row r="199" spans="1:21" s="204" customFormat="1" ht="27" customHeight="1" collapsed="1">
      <c r="A199" s="274">
        <f>IF(B199&lt;&gt;"",SUBTOTAL(103,$D$7:$D199),"")</f>
        <v>93</v>
      </c>
      <c r="B199" s="220">
        <f>IF(C199&lt;&gt;"",SUBTOTAL(103,$C$81:$C199),"")</f>
        <v>57</v>
      </c>
      <c r="C199" s="244" t="s">
        <v>1663</v>
      </c>
      <c r="D199" s="47" t="s">
        <v>1884</v>
      </c>
      <c r="E199" s="244" t="s">
        <v>1602</v>
      </c>
      <c r="F199" s="42" t="s">
        <v>1885</v>
      </c>
      <c r="G199" s="42" t="s">
        <v>1198</v>
      </c>
      <c r="H199" s="42" t="s">
        <v>1798</v>
      </c>
      <c r="I199" s="42" t="s">
        <v>1289</v>
      </c>
      <c r="J199" s="45">
        <v>41640</v>
      </c>
      <c r="K199" s="128">
        <v>0</v>
      </c>
      <c r="L199" s="45">
        <v>41640</v>
      </c>
      <c r="M199" s="45">
        <v>42217</v>
      </c>
      <c r="N199" s="128">
        <f t="shared" si="10"/>
        <v>20</v>
      </c>
      <c r="O199" s="137">
        <v>1150000</v>
      </c>
      <c r="P199" s="129">
        <f>Q199+R199+S199</f>
        <v>84525000</v>
      </c>
      <c r="Q199" s="129">
        <f>N199*O199*1.5</f>
        <v>34500000</v>
      </c>
      <c r="R199" s="129">
        <f>8250000+7275000</f>
        <v>15525000</v>
      </c>
      <c r="S199" s="129">
        <f>30*O199</f>
        <v>34500000</v>
      </c>
      <c r="T199" s="255" t="s">
        <v>2021</v>
      </c>
      <c r="U199" s="240">
        <v>42662</v>
      </c>
    </row>
    <row r="200" spans="1:21" s="204" customFormat="1" ht="27" customHeight="1">
      <c r="A200" s="274">
        <f>IF(B200&lt;&gt;"",SUBTOTAL(103,$D$7:$D200),"")</f>
        <v>94</v>
      </c>
      <c r="B200" s="220">
        <f>IF(C200&lt;&gt;"",SUBTOTAL(103,$C$81:$C200),"")</f>
        <v>58</v>
      </c>
      <c r="C200" s="244" t="s">
        <v>1664</v>
      </c>
      <c r="D200" s="47" t="s">
        <v>1886</v>
      </c>
      <c r="E200" s="244" t="s">
        <v>1620</v>
      </c>
      <c r="F200" s="42" t="s">
        <v>1887</v>
      </c>
      <c r="G200" s="42" t="s">
        <v>1198</v>
      </c>
      <c r="H200" s="42" t="s">
        <v>1778</v>
      </c>
      <c r="I200" s="42" t="s">
        <v>1875</v>
      </c>
      <c r="J200" s="45">
        <v>42005</v>
      </c>
      <c r="K200" s="128">
        <v>0</v>
      </c>
      <c r="L200" s="45">
        <v>42005</v>
      </c>
      <c r="M200" s="45">
        <v>42583</v>
      </c>
      <c r="N200" s="128">
        <f t="shared" si="10"/>
        <v>20</v>
      </c>
      <c r="O200" s="137"/>
      <c r="P200" s="129">
        <f>Q200+R200+S200</f>
        <v>58147500</v>
      </c>
      <c r="Q200" s="129">
        <f>SUM(Q201:Q202)</f>
        <v>34860000</v>
      </c>
      <c r="R200" s="129">
        <f>12000000+11287500</f>
        <v>23287500</v>
      </c>
      <c r="S200" s="129">
        <v>0</v>
      </c>
      <c r="T200" s="255" t="s">
        <v>1888</v>
      </c>
      <c r="U200" s="240">
        <v>42662</v>
      </c>
    </row>
    <row r="201" spans="1:21" s="204" customFormat="1" ht="27" customHeight="1" hidden="1" outlineLevel="1">
      <c r="A201" s="274">
        <f>IF(B201&lt;&gt;"",SUBTOTAL(103,$D$7:$D201),"")</f>
      </c>
      <c r="B201" s="220">
        <f>IF(C201&lt;&gt;"",SUBTOTAL(103,$C$81:$C201),"")</f>
      </c>
      <c r="C201" s="244"/>
      <c r="D201" s="292"/>
      <c r="E201" s="244"/>
      <c r="F201" s="42"/>
      <c r="G201" s="42"/>
      <c r="H201" s="42"/>
      <c r="I201" s="42"/>
      <c r="J201" s="45"/>
      <c r="K201" s="24"/>
      <c r="L201" s="45">
        <v>42005</v>
      </c>
      <c r="M201" s="45">
        <v>42461</v>
      </c>
      <c r="N201" s="128">
        <f t="shared" si="10"/>
        <v>16</v>
      </c>
      <c r="O201" s="137">
        <v>1150000</v>
      </c>
      <c r="P201" s="129"/>
      <c r="Q201" s="129">
        <f>N201*O201*1.5</f>
        <v>27600000</v>
      </c>
      <c r="R201" s="129"/>
      <c r="S201" s="129"/>
      <c r="T201" s="255"/>
      <c r="U201" s="240"/>
    </row>
    <row r="202" spans="1:21" s="204" customFormat="1" ht="27" customHeight="1" hidden="1" outlineLevel="1">
      <c r="A202" s="274">
        <f>IF(B202&lt;&gt;"",SUBTOTAL(103,$D$7:$D202),"")</f>
      </c>
      <c r="B202" s="220">
        <f>IF(C202&lt;&gt;"",SUBTOTAL(103,$C$81:$C202),"")</f>
      </c>
      <c r="C202" s="244"/>
      <c r="D202" s="292"/>
      <c r="E202" s="244"/>
      <c r="F202" s="42"/>
      <c r="G202" s="42"/>
      <c r="H202" s="42"/>
      <c r="I202" s="42"/>
      <c r="J202" s="45"/>
      <c r="K202" s="24"/>
      <c r="L202" s="45">
        <v>42491</v>
      </c>
      <c r="M202" s="45">
        <v>42583</v>
      </c>
      <c r="N202" s="128">
        <f t="shared" si="10"/>
        <v>4</v>
      </c>
      <c r="O202" s="137">
        <v>1210000</v>
      </c>
      <c r="P202" s="129"/>
      <c r="Q202" s="129">
        <f>N202*O202*1.5</f>
        <v>7260000</v>
      </c>
      <c r="R202" s="129"/>
      <c r="S202" s="129"/>
      <c r="T202" s="255"/>
      <c r="U202" s="240"/>
    </row>
    <row r="203" spans="1:21" s="204" customFormat="1" ht="27" customHeight="1" collapsed="1">
      <c r="A203" s="274">
        <f>IF(B203&lt;&gt;"",SUBTOTAL(103,$D$7:$D203),"")</f>
        <v>95</v>
      </c>
      <c r="B203" s="220">
        <f>IF(C203&lt;&gt;"",SUBTOTAL(103,$C$81:$C203),"")</f>
        <v>59</v>
      </c>
      <c r="C203" s="244" t="s">
        <v>1665</v>
      </c>
      <c r="D203" s="47" t="s">
        <v>1889</v>
      </c>
      <c r="E203" s="244" t="s">
        <v>1602</v>
      </c>
      <c r="F203" s="42" t="s">
        <v>1890</v>
      </c>
      <c r="G203" s="42" t="s">
        <v>1198</v>
      </c>
      <c r="H203" s="42" t="s">
        <v>1838</v>
      </c>
      <c r="I203" s="42" t="s">
        <v>1580</v>
      </c>
      <c r="J203" s="45">
        <v>42005</v>
      </c>
      <c r="K203" s="128">
        <v>0</v>
      </c>
      <c r="L203" s="45">
        <v>42005</v>
      </c>
      <c r="M203" s="45">
        <v>42583</v>
      </c>
      <c r="N203" s="128">
        <f t="shared" si="10"/>
        <v>20</v>
      </c>
      <c r="O203" s="137"/>
      <c r="P203" s="129">
        <f>Q203+R203+S203</f>
        <v>51360000</v>
      </c>
      <c r="Q203" s="129">
        <f>SUM(Q204:Q205)</f>
        <v>34860000</v>
      </c>
      <c r="R203" s="129">
        <f>8250000+8250000</f>
        <v>16500000</v>
      </c>
      <c r="S203" s="129">
        <v>0</v>
      </c>
      <c r="T203" s="255" t="s">
        <v>1891</v>
      </c>
      <c r="U203" s="240">
        <v>42662</v>
      </c>
    </row>
    <row r="204" spans="1:21" s="204" customFormat="1" ht="27" customHeight="1" hidden="1" outlineLevel="1">
      <c r="A204" s="274">
        <f>IF(B204&lt;&gt;"",SUBTOTAL(103,$D$7:$D204),"")</f>
      </c>
      <c r="B204" s="220">
        <f>IF(C204&lt;&gt;"",SUBTOTAL(103,$C$81:$C204),"")</f>
      </c>
      <c r="C204" s="244"/>
      <c r="D204" s="292"/>
      <c r="E204" s="244"/>
      <c r="F204" s="42"/>
      <c r="G204" s="42"/>
      <c r="H204" s="42"/>
      <c r="I204" s="42"/>
      <c r="J204" s="45"/>
      <c r="K204" s="24"/>
      <c r="L204" s="45">
        <v>42005</v>
      </c>
      <c r="M204" s="45">
        <v>42461</v>
      </c>
      <c r="N204" s="128">
        <f t="shared" si="10"/>
        <v>16</v>
      </c>
      <c r="O204" s="137">
        <v>1150000</v>
      </c>
      <c r="P204" s="129"/>
      <c r="Q204" s="129">
        <f>N204*O204*1.5</f>
        <v>27600000</v>
      </c>
      <c r="R204" s="129"/>
      <c r="S204" s="129"/>
      <c r="T204" s="255"/>
      <c r="U204" s="240"/>
    </row>
    <row r="205" spans="1:21" s="204" customFormat="1" ht="27" customHeight="1" hidden="1" outlineLevel="1">
      <c r="A205" s="274">
        <f>IF(B205&lt;&gt;"",SUBTOTAL(103,$D$7:$D205),"")</f>
      </c>
      <c r="B205" s="220">
        <f>IF(C205&lt;&gt;"",SUBTOTAL(103,$C$81:$C205),"")</f>
      </c>
      <c r="C205" s="244"/>
      <c r="D205" s="292"/>
      <c r="E205" s="244"/>
      <c r="F205" s="42"/>
      <c r="G205" s="42"/>
      <c r="H205" s="42"/>
      <c r="I205" s="42"/>
      <c r="J205" s="45"/>
      <c r="K205" s="24"/>
      <c r="L205" s="45">
        <v>42491</v>
      </c>
      <c r="M205" s="45">
        <v>42583</v>
      </c>
      <c r="N205" s="128">
        <f t="shared" si="10"/>
        <v>4</v>
      </c>
      <c r="O205" s="137">
        <v>1210000</v>
      </c>
      <c r="P205" s="129"/>
      <c r="Q205" s="129">
        <f>N205*O205*1.5</f>
        <v>7260000</v>
      </c>
      <c r="R205" s="129"/>
      <c r="S205" s="129"/>
      <c r="T205" s="255"/>
      <c r="U205" s="240"/>
    </row>
    <row r="206" spans="1:21" s="204" customFormat="1" ht="27" customHeight="1" collapsed="1">
      <c r="A206" s="274">
        <f>IF(B206&lt;&gt;"",SUBTOTAL(103,$D$7:$D206),"")</f>
        <v>96</v>
      </c>
      <c r="B206" s="220">
        <f>IF(C206&lt;&gt;"",SUBTOTAL(103,$C$81:$C206),"")</f>
        <v>60</v>
      </c>
      <c r="C206" s="244" t="s">
        <v>1666</v>
      </c>
      <c r="D206" s="47" t="s">
        <v>1892</v>
      </c>
      <c r="E206" s="244" t="s">
        <v>1642</v>
      </c>
      <c r="F206" s="42" t="s">
        <v>1893</v>
      </c>
      <c r="G206" s="42" t="s">
        <v>1198</v>
      </c>
      <c r="H206" s="42" t="s">
        <v>1792</v>
      </c>
      <c r="I206" s="42" t="s">
        <v>1821</v>
      </c>
      <c r="J206" s="45">
        <v>41640</v>
      </c>
      <c r="K206" s="128">
        <v>0</v>
      </c>
      <c r="L206" s="45">
        <v>41640</v>
      </c>
      <c r="M206" s="45">
        <v>42217</v>
      </c>
      <c r="N206" s="128">
        <f t="shared" si="10"/>
        <v>20</v>
      </c>
      <c r="O206" s="137">
        <v>1150000</v>
      </c>
      <c r="P206" s="129">
        <f>Q206+R206+S206</f>
        <v>86650000</v>
      </c>
      <c r="Q206" s="129">
        <f>N206*O206*1.5</f>
        <v>34500000</v>
      </c>
      <c r="R206" s="129">
        <f>4200000+3700000+4875000+4875000</f>
        <v>17650000</v>
      </c>
      <c r="S206" s="129">
        <f>30*O206</f>
        <v>34500000</v>
      </c>
      <c r="T206" s="255" t="s">
        <v>2022</v>
      </c>
      <c r="U206" s="240">
        <v>42662</v>
      </c>
    </row>
    <row r="207" spans="1:21" s="204" customFormat="1" ht="27" customHeight="1">
      <c r="A207" s="274">
        <f>IF(B207&lt;&gt;"",SUBTOTAL(103,$D$7:$D207),"")</f>
        <v>97</v>
      </c>
      <c r="B207" s="220">
        <f>IF(C207&lt;&gt;"",SUBTOTAL(103,$C$81:$C207),"")</f>
        <v>61</v>
      </c>
      <c r="C207" s="244" t="s">
        <v>1667</v>
      </c>
      <c r="D207" s="47" t="s">
        <v>1894</v>
      </c>
      <c r="E207" s="244" t="s">
        <v>1604</v>
      </c>
      <c r="F207" s="42" t="s">
        <v>1895</v>
      </c>
      <c r="G207" s="42" t="s">
        <v>1198</v>
      </c>
      <c r="H207" s="42" t="s">
        <v>1845</v>
      </c>
      <c r="I207" s="42" t="s">
        <v>1289</v>
      </c>
      <c r="J207" s="45">
        <v>42005</v>
      </c>
      <c r="K207" s="128">
        <v>0</v>
      </c>
      <c r="L207" s="45">
        <v>42005</v>
      </c>
      <c r="M207" s="45">
        <v>42583</v>
      </c>
      <c r="N207" s="128">
        <f t="shared" si="10"/>
        <v>20</v>
      </c>
      <c r="O207" s="137"/>
      <c r="P207" s="129">
        <f>Q207+R207+S207</f>
        <v>52410000</v>
      </c>
      <c r="Q207" s="129">
        <f>SUM(Q208:Q209)</f>
        <v>34860000</v>
      </c>
      <c r="R207" s="129">
        <f>8250000+9300000</f>
        <v>17550000</v>
      </c>
      <c r="S207" s="129">
        <v>0</v>
      </c>
      <c r="T207" s="255" t="s">
        <v>2023</v>
      </c>
      <c r="U207" s="240">
        <v>42662</v>
      </c>
    </row>
    <row r="208" spans="1:21" s="204" customFormat="1" ht="27" customHeight="1" hidden="1" outlineLevel="1">
      <c r="A208" s="274">
        <f>IF(B208&lt;&gt;"",SUBTOTAL(103,$D$7:$D208),"")</f>
      </c>
      <c r="B208" s="220">
        <f>IF(C208&lt;&gt;"",SUBTOTAL(103,$C$81:$C208),"")</f>
      </c>
      <c r="C208" s="244"/>
      <c r="D208" s="292"/>
      <c r="E208" s="244"/>
      <c r="F208" s="42"/>
      <c r="G208" s="42"/>
      <c r="H208" s="42"/>
      <c r="I208" s="42"/>
      <c r="J208" s="45"/>
      <c r="K208" s="128"/>
      <c r="L208" s="45">
        <v>42005</v>
      </c>
      <c r="M208" s="45">
        <v>42461</v>
      </c>
      <c r="N208" s="128">
        <f t="shared" si="10"/>
        <v>16</v>
      </c>
      <c r="O208" s="137">
        <v>1150000</v>
      </c>
      <c r="P208" s="129"/>
      <c r="Q208" s="129">
        <f>N208*O208*1.5</f>
        <v>27600000</v>
      </c>
      <c r="R208" s="129"/>
      <c r="S208" s="129"/>
      <c r="T208" s="255"/>
      <c r="U208" s="240"/>
    </row>
    <row r="209" spans="1:21" s="204" customFormat="1" ht="27" customHeight="1" hidden="1" outlineLevel="1">
      <c r="A209" s="274">
        <f>IF(B209&lt;&gt;"",SUBTOTAL(103,$D$7:$D209),"")</f>
      </c>
      <c r="B209" s="220">
        <f>IF(C209&lt;&gt;"",SUBTOTAL(103,$C$81:$C209),"")</f>
      </c>
      <c r="C209" s="244"/>
      <c r="D209" s="292"/>
      <c r="E209" s="244"/>
      <c r="F209" s="42"/>
      <c r="G209" s="42"/>
      <c r="H209" s="42"/>
      <c r="I209" s="42"/>
      <c r="J209" s="45"/>
      <c r="K209" s="128"/>
      <c r="L209" s="45">
        <v>42491</v>
      </c>
      <c r="M209" s="45">
        <v>42583</v>
      </c>
      <c r="N209" s="128">
        <f t="shared" si="10"/>
        <v>4</v>
      </c>
      <c r="O209" s="137">
        <v>1210000</v>
      </c>
      <c r="P209" s="129"/>
      <c r="Q209" s="129">
        <f>N209*O209*1.5</f>
        <v>7260000</v>
      </c>
      <c r="R209" s="129"/>
      <c r="S209" s="129"/>
      <c r="T209" s="255"/>
      <c r="U209" s="240"/>
    </row>
    <row r="210" spans="1:21" s="204" customFormat="1" ht="27" customHeight="1" collapsed="1">
      <c r="A210" s="274">
        <f>IF(B210&lt;&gt;"",SUBTOTAL(103,$D$7:$D210),"")</f>
        <v>98</v>
      </c>
      <c r="B210" s="220">
        <f>IF(C210&lt;&gt;"",SUBTOTAL(103,$C$81:$C210),"")</f>
        <v>62</v>
      </c>
      <c r="C210" s="244" t="s">
        <v>1668</v>
      </c>
      <c r="D210" s="47" t="s">
        <v>1897</v>
      </c>
      <c r="E210" s="244" t="s">
        <v>1669</v>
      </c>
      <c r="F210" s="42" t="s">
        <v>1896</v>
      </c>
      <c r="G210" s="42" t="s">
        <v>1720</v>
      </c>
      <c r="H210" s="42" t="s">
        <v>1287</v>
      </c>
      <c r="I210" s="42" t="s">
        <v>1289</v>
      </c>
      <c r="J210" s="45">
        <v>42005</v>
      </c>
      <c r="K210" s="128">
        <v>0</v>
      </c>
      <c r="L210" s="45">
        <v>42005</v>
      </c>
      <c r="M210" s="45">
        <v>42583</v>
      </c>
      <c r="N210" s="128">
        <f t="shared" si="10"/>
        <v>20</v>
      </c>
      <c r="O210" s="137"/>
      <c r="P210" s="129">
        <f>Q210+R210+S210</f>
        <v>70710000</v>
      </c>
      <c r="Q210" s="129">
        <f>SUM(Q211:Q212)</f>
        <v>34860000</v>
      </c>
      <c r="R210" s="129">
        <f>1000000+16250000+18600000</f>
        <v>35850000</v>
      </c>
      <c r="S210" s="129">
        <v>0</v>
      </c>
      <c r="T210" s="255" t="s">
        <v>2024</v>
      </c>
      <c r="U210" s="240">
        <v>42662</v>
      </c>
    </row>
    <row r="211" spans="1:21" s="204" customFormat="1" ht="27" customHeight="1" hidden="1" outlineLevel="1">
      <c r="A211" s="274">
        <f>IF(B211&lt;&gt;"",SUBTOTAL(103,$D$7:$D211),"")</f>
      </c>
      <c r="B211" s="220">
        <f>IF(C211&lt;&gt;"",SUBTOTAL(103,$C$81:$C211),"")</f>
      </c>
      <c r="C211" s="244"/>
      <c r="D211" s="292"/>
      <c r="E211" s="244"/>
      <c r="F211" s="42"/>
      <c r="G211" s="42"/>
      <c r="H211" s="42"/>
      <c r="I211" s="42"/>
      <c r="J211" s="45"/>
      <c r="K211" s="128"/>
      <c r="L211" s="45">
        <v>42005</v>
      </c>
      <c r="M211" s="45">
        <v>42461</v>
      </c>
      <c r="N211" s="128">
        <f t="shared" si="10"/>
        <v>16</v>
      </c>
      <c r="O211" s="137">
        <v>1150000</v>
      </c>
      <c r="P211" s="129"/>
      <c r="Q211" s="129">
        <f>N211*O211*1.5</f>
        <v>27600000</v>
      </c>
      <c r="R211" s="129"/>
      <c r="S211" s="129"/>
      <c r="T211" s="255"/>
      <c r="U211" s="240"/>
    </row>
    <row r="212" spans="1:21" s="204" customFormat="1" ht="27" customHeight="1" hidden="1" outlineLevel="1">
      <c r="A212" s="274">
        <f>IF(B212&lt;&gt;"",SUBTOTAL(103,$D$7:$D212),"")</f>
      </c>
      <c r="B212" s="220">
        <f>IF(C212&lt;&gt;"",SUBTOTAL(103,$C$81:$C212),"")</f>
      </c>
      <c r="C212" s="244"/>
      <c r="D212" s="292"/>
      <c r="E212" s="244"/>
      <c r="F212" s="42"/>
      <c r="G212" s="42"/>
      <c r="H212" s="42"/>
      <c r="I212" s="42"/>
      <c r="J212" s="45"/>
      <c r="K212" s="128"/>
      <c r="L212" s="45">
        <v>42491</v>
      </c>
      <c r="M212" s="45">
        <v>42583</v>
      </c>
      <c r="N212" s="128">
        <f t="shared" si="10"/>
        <v>4</v>
      </c>
      <c r="O212" s="137">
        <v>1210000</v>
      </c>
      <c r="P212" s="129"/>
      <c r="Q212" s="129">
        <f>N212*O212*1.5</f>
        <v>7260000</v>
      </c>
      <c r="R212" s="129"/>
      <c r="S212" s="129"/>
      <c r="T212" s="255"/>
      <c r="U212" s="240"/>
    </row>
    <row r="213" spans="1:21" s="204" customFormat="1" ht="27" customHeight="1" collapsed="1">
      <c r="A213" s="274">
        <f>IF(B213&lt;&gt;"",SUBTOTAL(103,$D$7:$D213),"")</f>
        <v>99</v>
      </c>
      <c r="B213" s="220">
        <f>IF(C213&lt;&gt;"",SUBTOTAL(103,$C$81:$C213),"")</f>
        <v>63</v>
      </c>
      <c r="C213" s="244" t="s">
        <v>1670</v>
      </c>
      <c r="D213" s="47" t="s">
        <v>1898</v>
      </c>
      <c r="E213" s="244" t="s">
        <v>1671</v>
      </c>
      <c r="F213" s="42" t="s">
        <v>1899</v>
      </c>
      <c r="G213" s="42" t="s">
        <v>1198</v>
      </c>
      <c r="H213" s="42" t="s">
        <v>1778</v>
      </c>
      <c r="I213" s="42" t="s">
        <v>252</v>
      </c>
      <c r="J213" s="45">
        <v>41640</v>
      </c>
      <c r="K213" s="128">
        <v>0</v>
      </c>
      <c r="L213" s="45">
        <v>41640</v>
      </c>
      <c r="M213" s="45">
        <v>42217</v>
      </c>
      <c r="N213" s="128">
        <f t="shared" si="10"/>
        <v>20</v>
      </c>
      <c r="O213" s="137">
        <v>1150000</v>
      </c>
      <c r="P213" s="129">
        <f>Q213+R213+S213</f>
        <v>84525000</v>
      </c>
      <c r="Q213" s="129">
        <f>N213*O213*1.5</f>
        <v>34500000</v>
      </c>
      <c r="R213" s="129">
        <f>8725000+6800000</f>
        <v>15525000</v>
      </c>
      <c r="S213" s="129">
        <f>30*O213</f>
        <v>34500000</v>
      </c>
      <c r="T213" s="255" t="s">
        <v>2025</v>
      </c>
      <c r="U213" s="240">
        <v>42662</v>
      </c>
    </row>
    <row r="214" spans="1:21" s="204" customFormat="1" ht="27" customHeight="1">
      <c r="A214" s="274">
        <f>IF(B214&lt;&gt;"",SUBTOTAL(103,$D$7:$D214),"")</f>
        <v>100</v>
      </c>
      <c r="B214" s="220">
        <f>IF(C214&lt;&gt;"",SUBTOTAL(103,$C$81:$C214),"")</f>
        <v>64</v>
      </c>
      <c r="C214" s="244" t="s">
        <v>1672</v>
      </c>
      <c r="D214" s="47" t="s">
        <v>1900</v>
      </c>
      <c r="E214" s="244" t="s">
        <v>1673</v>
      </c>
      <c r="F214" s="42" t="s">
        <v>1901</v>
      </c>
      <c r="G214" s="42" t="s">
        <v>1198</v>
      </c>
      <c r="H214" s="42" t="s">
        <v>1798</v>
      </c>
      <c r="I214" s="42" t="s">
        <v>524</v>
      </c>
      <c r="J214" s="45">
        <v>41640</v>
      </c>
      <c r="K214" s="128">
        <v>0</v>
      </c>
      <c r="L214" s="45">
        <v>41640</v>
      </c>
      <c r="M214" s="45">
        <v>42217</v>
      </c>
      <c r="N214" s="128">
        <f t="shared" si="10"/>
        <v>20</v>
      </c>
      <c r="O214" s="137">
        <v>1150000</v>
      </c>
      <c r="P214" s="129">
        <f>Q214+R214+S214</f>
        <v>85837500</v>
      </c>
      <c r="Q214" s="129">
        <f>N214*O214*1.5</f>
        <v>34500000</v>
      </c>
      <c r="R214" s="129">
        <f>6787500+8250000</f>
        <v>15037500</v>
      </c>
      <c r="S214" s="129">
        <f>30*1210000</f>
        <v>36300000</v>
      </c>
      <c r="T214" s="255" t="s">
        <v>2026</v>
      </c>
      <c r="U214" s="240">
        <v>42662</v>
      </c>
    </row>
    <row r="215" spans="1:21" s="204" customFormat="1" ht="27" customHeight="1">
      <c r="A215" s="274">
        <f>IF(B215&lt;&gt;"",SUBTOTAL(103,$D$7:$D215),"")</f>
        <v>101</v>
      </c>
      <c r="B215" s="220">
        <f>IF(C215&lt;&gt;"",SUBTOTAL(103,$C$81:$C215),"")</f>
        <v>65</v>
      </c>
      <c r="C215" s="244" t="s">
        <v>1674</v>
      </c>
      <c r="D215" s="47" t="s">
        <v>1902</v>
      </c>
      <c r="E215" s="244" t="s">
        <v>1675</v>
      </c>
      <c r="F215" s="42" t="s">
        <v>1903</v>
      </c>
      <c r="G215" s="42" t="s">
        <v>1198</v>
      </c>
      <c r="H215" s="42" t="s">
        <v>1904</v>
      </c>
      <c r="I215" s="42" t="s">
        <v>1285</v>
      </c>
      <c r="J215" s="45">
        <v>41640</v>
      </c>
      <c r="K215" s="128">
        <v>0</v>
      </c>
      <c r="L215" s="45">
        <v>41640</v>
      </c>
      <c r="M215" s="45">
        <v>42217</v>
      </c>
      <c r="N215" s="128">
        <f t="shared" si="10"/>
        <v>20</v>
      </c>
      <c r="O215" s="137">
        <v>1150000</v>
      </c>
      <c r="P215" s="129">
        <f>Q215+R215+S215</f>
        <v>87225000</v>
      </c>
      <c r="Q215" s="129">
        <f>N215*O215*1.5</f>
        <v>34500000</v>
      </c>
      <c r="R215" s="129">
        <f>8475000+9750000</f>
        <v>18225000</v>
      </c>
      <c r="S215" s="129">
        <f>30*O215</f>
        <v>34500000</v>
      </c>
      <c r="T215" s="255" t="s">
        <v>2027</v>
      </c>
      <c r="U215" s="240">
        <v>42662</v>
      </c>
    </row>
    <row r="216" spans="1:21" s="204" customFormat="1" ht="27" customHeight="1">
      <c r="A216" s="274">
        <f>IF(B216&lt;&gt;"",SUBTOTAL(103,$D$7:$D216),"")</f>
        <v>102</v>
      </c>
      <c r="B216" s="220">
        <f>IF(C216&lt;&gt;"",SUBTOTAL(103,$C$81:$C216),"")</f>
        <v>66</v>
      </c>
      <c r="C216" s="244" t="s">
        <v>1676</v>
      </c>
      <c r="D216" s="47" t="s">
        <v>1565</v>
      </c>
      <c r="E216" s="244" t="s">
        <v>1675</v>
      </c>
      <c r="F216" s="42" t="s">
        <v>1567</v>
      </c>
      <c r="G216" s="42" t="s">
        <v>1198</v>
      </c>
      <c r="H216" s="42" t="s">
        <v>1804</v>
      </c>
      <c r="I216" s="42" t="s">
        <v>1289</v>
      </c>
      <c r="J216" s="45">
        <v>42005</v>
      </c>
      <c r="K216" s="128">
        <v>0</v>
      </c>
      <c r="L216" s="45">
        <v>42005</v>
      </c>
      <c r="M216" s="45">
        <v>42583</v>
      </c>
      <c r="N216" s="128">
        <f t="shared" si="10"/>
        <v>20</v>
      </c>
      <c r="O216" s="137">
        <v>1150000</v>
      </c>
      <c r="P216" s="129">
        <f>Q216+R216+S216</f>
        <v>87585000</v>
      </c>
      <c r="Q216" s="129">
        <f>SUM(Q217:Q218)</f>
        <v>34860000</v>
      </c>
      <c r="R216" s="129">
        <f>9750000+8475000</f>
        <v>18225000</v>
      </c>
      <c r="S216" s="129">
        <f>30*O216</f>
        <v>34500000</v>
      </c>
      <c r="T216" s="255" t="s">
        <v>2028</v>
      </c>
      <c r="U216" s="240">
        <v>42662</v>
      </c>
    </row>
    <row r="217" spans="1:21" s="204" customFormat="1" ht="27" customHeight="1" hidden="1" outlineLevel="1">
      <c r="A217" s="274">
        <f>IF(B217&lt;&gt;"",SUBTOTAL(103,$D$7:$D217),"")</f>
      </c>
      <c r="B217" s="220">
        <f>IF(C217&lt;&gt;"",SUBTOTAL(103,$C$81:$C217),"")</f>
      </c>
      <c r="C217" s="244"/>
      <c r="D217" s="292"/>
      <c r="E217" s="244"/>
      <c r="F217" s="42"/>
      <c r="G217" s="42"/>
      <c r="H217" s="42"/>
      <c r="I217" s="42"/>
      <c r="J217" s="45"/>
      <c r="K217" s="128"/>
      <c r="L217" s="45">
        <v>42005</v>
      </c>
      <c r="M217" s="45">
        <v>42461</v>
      </c>
      <c r="N217" s="128">
        <f t="shared" si="10"/>
        <v>16</v>
      </c>
      <c r="O217" s="137">
        <v>1150000</v>
      </c>
      <c r="P217" s="129"/>
      <c r="Q217" s="129">
        <f>N217*O217*1.5</f>
        <v>27600000</v>
      </c>
      <c r="R217" s="129"/>
      <c r="S217" s="129"/>
      <c r="T217" s="255"/>
      <c r="U217" s="240"/>
    </row>
    <row r="218" spans="1:21" s="204" customFormat="1" ht="27" customHeight="1" hidden="1" outlineLevel="1">
      <c r="A218" s="274">
        <f>IF(B218&lt;&gt;"",SUBTOTAL(103,$D$7:$D218),"")</f>
      </c>
      <c r="B218" s="220">
        <f>IF(C218&lt;&gt;"",SUBTOTAL(103,$C$81:$C218),"")</f>
      </c>
      <c r="C218" s="244"/>
      <c r="D218" s="292"/>
      <c r="E218" s="244"/>
      <c r="F218" s="42"/>
      <c r="G218" s="42"/>
      <c r="H218" s="42"/>
      <c r="I218" s="42"/>
      <c r="J218" s="45"/>
      <c r="K218" s="128"/>
      <c r="L218" s="45">
        <v>42491</v>
      </c>
      <c r="M218" s="45">
        <v>42583</v>
      </c>
      <c r="N218" s="128">
        <f t="shared" si="10"/>
        <v>4</v>
      </c>
      <c r="O218" s="137">
        <v>1210000</v>
      </c>
      <c r="P218" s="129"/>
      <c r="Q218" s="129">
        <f>N218*O218*1.5</f>
        <v>7260000</v>
      </c>
      <c r="R218" s="129"/>
      <c r="S218" s="129"/>
      <c r="T218" s="255"/>
      <c r="U218" s="240"/>
    </row>
    <row r="219" spans="1:21" s="204" customFormat="1" ht="27" customHeight="1" collapsed="1">
      <c r="A219" s="274">
        <f>IF(B219&lt;&gt;"",SUBTOTAL(103,$D$7:$D219),"")</f>
        <v>103</v>
      </c>
      <c r="B219" s="220">
        <f>IF(C219&lt;&gt;"",SUBTOTAL(103,$C$81:$C219),"")</f>
        <v>67</v>
      </c>
      <c r="C219" s="244" t="s">
        <v>424</v>
      </c>
      <c r="D219" s="47" t="s">
        <v>1905</v>
      </c>
      <c r="E219" s="244" t="s">
        <v>2149</v>
      </c>
      <c r="F219" s="42" t="s">
        <v>1906</v>
      </c>
      <c r="G219" s="42" t="s">
        <v>1198</v>
      </c>
      <c r="H219" s="42" t="s">
        <v>1798</v>
      </c>
      <c r="I219" s="42" t="s">
        <v>848</v>
      </c>
      <c r="J219" s="45">
        <v>42005</v>
      </c>
      <c r="K219" s="128">
        <v>0</v>
      </c>
      <c r="L219" s="45">
        <v>42005</v>
      </c>
      <c r="M219" s="45">
        <v>42583</v>
      </c>
      <c r="N219" s="128">
        <f t="shared" si="10"/>
        <v>20</v>
      </c>
      <c r="O219" s="137">
        <v>1150000</v>
      </c>
      <c r="P219" s="129">
        <f>Q219+R219+S219</f>
        <v>122055000</v>
      </c>
      <c r="Q219" s="129">
        <f>SUM(Q222:Q225)</f>
        <v>104580000</v>
      </c>
      <c r="R219" s="129">
        <f>8250000+9225000</f>
        <v>17475000</v>
      </c>
      <c r="S219" s="129">
        <v>0</v>
      </c>
      <c r="T219" s="255" t="s">
        <v>2029</v>
      </c>
      <c r="U219" s="240">
        <v>42662</v>
      </c>
    </row>
    <row r="220" spans="1:21" s="204" customFormat="1" ht="27" customHeight="1" hidden="1" outlineLevel="1">
      <c r="A220" s="274">
        <f>IF(B220&lt;&gt;"",SUBTOTAL(103,$D$7:$D220),"")</f>
      </c>
      <c r="B220" s="220">
        <f>IF(C220&lt;&gt;"",SUBTOTAL(103,$C$81:$C220),"")</f>
      </c>
      <c r="C220" s="244"/>
      <c r="D220" s="292"/>
      <c r="E220" s="244"/>
      <c r="F220" s="42"/>
      <c r="G220" s="42"/>
      <c r="H220" s="42"/>
      <c r="I220" s="42"/>
      <c r="J220" s="45"/>
      <c r="K220" s="128"/>
      <c r="L220" s="45">
        <v>42005</v>
      </c>
      <c r="M220" s="45">
        <v>42461</v>
      </c>
      <c r="N220" s="128">
        <f t="shared" si="10"/>
        <v>16</v>
      </c>
      <c r="O220" s="137">
        <v>1150000</v>
      </c>
      <c r="P220" s="129"/>
      <c r="Q220" s="129">
        <f>N220*O220*1.5</f>
        <v>27600000</v>
      </c>
      <c r="R220" s="129"/>
      <c r="S220" s="129"/>
      <c r="T220" s="255"/>
      <c r="U220" s="240"/>
    </row>
    <row r="221" spans="1:21" s="204" customFormat="1" ht="27" customHeight="1" hidden="1" outlineLevel="1">
      <c r="A221" s="274">
        <f>IF(B221&lt;&gt;"",SUBTOTAL(103,$D$7:$D221),"")</f>
      </c>
      <c r="B221" s="220">
        <f>IF(C221&lt;&gt;"",SUBTOTAL(103,$C$81:$C221),"")</f>
      </c>
      <c r="C221" s="244"/>
      <c r="D221" s="292"/>
      <c r="E221" s="244"/>
      <c r="F221" s="42"/>
      <c r="G221" s="42"/>
      <c r="H221" s="42"/>
      <c r="I221" s="42"/>
      <c r="J221" s="45"/>
      <c r="K221" s="128"/>
      <c r="L221" s="45">
        <v>42491</v>
      </c>
      <c r="M221" s="45">
        <v>42583</v>
      </c>
      <c r="N221" s="128">
        <f t="shared" si="10"/>
        <v>4</v>
      </c>
      <c r="O221" s="137">
        <v>1210000</v>
      </c>
      <c r="P221" s="129"/>
      <c r="Q221" s="129">
        <f>N221*O221*1.5</f>
        <v>7260000</v>
      </c>
      <c r="R221" s="129"/>
      <c r="S221" s="129"/>
      <c r="T221" s="255"/>
      <c r="U221" s="240"/>
    </row>
    <row r="222" spans="1:21" s="204" customFormat="1" ht="27" customHeight="1" collapsed="1">
      <c r="A222" s="274">
        <f>IF(B222&lt;&gt;"",SUBTOTAL(103,$D$7:$D222),"")</f>
        <v>104</v>
      </c>
      <c r="B222" s="220">
        <f>IF(C222&lt;&gt;"",SUBTOTAL(103,$C$81:$C222),"")</f>
        <v>68</v>
      </c>
      <c r="C222" s="244" t="s">
        <v>1677</v>
      </c>
      <c r="D222" s="47" t="s">
        <v>1907</v>
      </c>
      <c r="E222" s="244" t="s">
        <v>1678</v>
      </c>
      <c r="F222" s="42" t="s">
        <v>1908</v>
      </c>
      <c r="G222" s="42" t="s">
        <v>1198</v>
      </c>
      <c r="H222" s="42" t="s">
        <v>1792</v>
      </c>
      <c r="I222" s="42" t="s">
        <v>252</v>
      </c>
      <c r="J222" s="45">
        <v>42005</v>
      </c>
      <c r="K222" s="128">
        <v>0</v>
      </c>
      <c r="L222" s="45">
        <v>42005</v>
      </c>
      <c r="M222" s="45">
        <v>42583</v>
      </c>
      <c r="N222" s="128">
        <f t="shared" si="10"/>
        <v>20</v>
      </c>
      <c r="O222" s="137">
        <v>1150000</v>
      </c>
      <c r="P222" s="129">
        <f>Q222+R222+S222</f>
        <v>56055000</v>
      </c>
      <c r="Q222" s="129">
        <f>SUM(Q223:Q224)</f>
        <v>34860000</v>
      </c>
      <c r="R222" s="129">
        <f>11025000+9750000+420000</f>
        <v>21195000</v>
      </c>
      <c r="S222" s="129">
        <v>0</v>
      </c>
      <c r="T222" s="255" t="s">
        <v>2030</v>
      </c>
      <c r="U222" s="240">
        <v>42662</v>
      </c>
    </row>
    <row r="223" spans="1:21" s="204" customFormat="1" ht="27" customHeight="1" hidden="1" outlineLevel="1">
      <c r="A223" s="274">
        <f>IF(B223&lt;&gt;"",SUBTOTAL(103,$D$7:$D223),"")</f>
      </c>
      <c r="B223" s="220">
        <f>IF(C223&lt;&gt;"",SUBTOTAL(103,$C$81:$C223),"")</f>
      </c>
      <c r="C223" s="244"/>
      <c r="D223" s="292"/>
      <c r="E223" s="244"/>
      <c r="F223" s="42"/>
      <c r="G223" s="42"/>
      <c r="H223" s="42"/>
      <c r="I223" s="42"/>
      <c r="J223" s="45"/>
      <c r="K223" s="128"/>
      <c r="L223" s="45">
        <v>42005</v>
      </c>
      <c r="M223" s="45">
        <v>42461</v>
      </c>
      <c r="N223" s="128">
        <f t="shared" si="10"/>
        <v>16</v>
      </c>
      <c r="O223" s="137">
        <v>1150000</v>
      </c>
      <c r="P223" s="129"/>
      <c r="Q223" s="129">
        <f>N223*O223*1.5</f>
        <v>27600000</v>
      </c>
      <c r="R223" s="129"/>
      <c r="S223" s="129"/>
      <c r="T223" s="255"/>
      <c r="U223" s="240"/>
    </row>
    <row r="224" spans="1:21" s="204" customFormat="1" ht="27" customHeight="1" hidden="1" outlineLevel="1">
      <c r="A224" s="274">
        <f>IF(B224&lt;&gt;"",SUBTOTAL(103,$D$7:$D224),"")</f>
      </c>
      <c r="B224" s="220">
        <f>IF(C224&lt;&gt;"",SUBTOTAL(103,$C$81:$C224),"")</f>
      </c>
      <c r="C224" s="244"/>
      <c r="D224" s="292"/>
      <c r="E224" s="244"/>
      <c r="F224" s="42"/>
      <c r="G224" s="42"/>
      <c r="H224" s="42"/>
      <c r="I224" s="42"/>
      <c r="J224" s="45"/>
      <c r="K224" s="128"/>
      <c r="L224" s="45">
        <v>42491</v>
      </c>
      <c r="M224" s="45">
        <v>42583</v>
      </c>
      <c r="N224" s="128">
        <f t="shared" si="10"/>
        <v>4</v>
      </c>
      <c r="O224" s="137">
        <v>1210000</v>
      </c>
      <c r="P224" s="129"/>
      <c r="Q224" s="129">
        <f>N224*O224*1.5</f>
        <v>7260000</v>
      </c>
      <c r="R224" s="129"/>
      <c r="S224" s="129"/>
      <c r="T224" s="255"/>
      <c r="U224" s="240"/>
    </row>
    <row r="225" spans="1:21" s="204" customFormat="1" ht="27" customHeight="1" collapsed="1">
      <c r="A225" s="274">
        <f>IF(B225&lt;&gt;"",SUBTOTAL(103,$D$7:$D225),"")</f>
        <v>105</v>
      </c>
      <c r="B225" s="220">
        <f>IF(C225&lt;&gt;"",SUBTOTAL(103,$C$81:$C225),"")</f>
        <v>69</v>
      </c>
      <c r="C225" s="244" t="s">
        <v>42</v>
      </c>
      <c r="D225" s="47" t="s">
        <v>1909</v>
      </c>
      <c r="E225" s="244" t="s">
        <v>1613</v>
      </c>
      <c r="F225" s="42" t="s">
        <v>1910</v>
      </c>
      <c r="G225" s="42" t="s">
        <v>1198</v>
      </c>
      <c r="H225" s="42" t="s">
        <v>1825</v>
      </c>
      <c r="I225" s="42" t="s">
        <v>1911</v>
      </c>
      <c r="J225" s="45">
        <v>42005</v>
      </c>
      <c r="K225" s="128">
        <v>0</v>
      </c>
      <c r="L225" s="45">
        <v>42005</v>
      </c>
      <c r="M225" s="45">
        <v>42583</v>
      </c>
      <c r="N225" s="128">
        <f t="shared" si="10"/>
        <v>20</v>
      </c>
      <c r="O225" s="137">
        <v>1150000</v>
      </c>
      <c r="P225" s="129">
        <f>Q225+R225+S225</f>
        <v>52360000</v>
      </c>
      <c r="Q225" s="129">
        <f>SUM(Q226:Q227)</f>
        <v>34860000</v>
      </c>
      <c r="R225" s="129">
        <f>8350000+9150000</f>
        <v>17500000</v>
      </c>
      <c r="S225" s="129">
        <v>0</v>
      </c>
      <c r="T225" s="255" t="s">
        <v>201</v>
      </c>
      <c r="U225" s="240">
        <v>42662</v>
      </c>
    </row>
    <row r="226" spans="1:21" s="204" customFormat="1" ht="27" customHeight="1" hidden="1" outlineLevel="1">
      <c r="A226" s="274">
        <f>IF(B226&lt;&gt;"",SUBTOTAL(103,$D$7:$D226),"")</f>
      </c>
      <c r="B226" s="220">
        <f>IF(C226&lt;&gt;"",SUBTOTAL(103,$C$81:$C226),"")</f>
      </c>
      <c r="C226" s="244"/>
      <c r="D226" s="292"/>
      <c r="E226" s="244"/>
      <c r="F226" s="42"/>
      <c r="G226" s="42"/>
      <c r="H226" s="42"/>
      <c r="I226" s="42"/>
      <c r="J226" s="45"/>
      <c r="K226" s="128"/>
      <c r="L226" s="45">
        <v>42005</v>
      </c>
      <c r="M226" s="45">
        <v>42461</v>
      </c>
      <c r="N226" s="128">
        <f t="shared" si="10"/>
        <v>16</v>
      </c>
      <c r="O226" s="137">
        <v>1150000</v>
      </c>
      <c r="P226" s="129"/>
      <c r="Q226" s="129">
        <f>N226*O226*1.5</f>
        <v>27600000</v>
      </c>
      <c r="R226" s="129"/>
      <c r="S226" s="129"/>
      <c r="T226" s="255"/>
      <c r="U226" s="240"/>
    </row>
    <row r="227" spans="1:21" s="204" customFormat="1" ht="27" customHeight="1" hidden="1" outlineLevel="1">
      <c r="A227" s="274">
        <f>IF(B227&lt;&gt;"",SUBTOTAL(103,$D$7:$D227),"")</f>
      </c>
      <c r="B227" s="220">
        <f>IF(C227&lt;&gt;"",SUBTOTAL(103,$C$81:$C227),"")</f>
      </c>
      <c r="C227" s="244"/>
      <c r="D227" s="292"/>
      <c r="E227" s="244"/>
      <c r="F227" s="42"/>
      <c r="G227" s="42"/>
      <c r="H227" s="42"/>
      <c r="I227" s="42"/>
      <c r="J227" s="45"/>
      <c r="K227" s="128"/>
      <c r="L227" s="45">
        <v>42491</v>
      </c>
      <c r="M227" s="45">
        <v>42583</v>
      </c>
      <c r="N227" s="128">
        <f t="shared" si="10"/>
        <v>4</v>
      </c>
      <c r="O227" s="137">
        <v>1210000</v>
      </c>
      <c r="P227" s="129"/>
      <c r="Q227" s="129">
        <f>N227*O227*1.5</f>
        <v>7260000</v>
      </c>
      <c r="R227" s="129"/>
      <c r="S227" s="129"/>
      <c r="T227" s="255"/>
      <c r="U227" s="240"/>
    </row>
    <row r="228" spans="1:21" s="204" customFormat="1" ht="27" customHeight="1" collapsed="1">
      <c r="A228" s="274">
        <f>IF(B228&lt;&gt;"",SUBTOTAL(103,$D$7:$D228),"")</f>
        <v>106</v>
      </c>
      <c r="B228" s="220">
        <f>IF(C228&lt;&gt;"",SUBTOTAL(103,$C$81:$C228),"")</f>
        <v>70</v>
      </c>
      <c r="C228" s="244" t="s">
        <v>1679</v>
      </c>
      <c r="D228" s="47" t="s">
        <v>228</v>
      </c>
      <c r="E228" s="244" t="s">
        <v>1680</v>
      </c>
      <c r="F228" s="42" t="s">
        <v>1912</v>
      </c>
      <c r="G228" s="42" t="s">
        <v>1198</v>
      </c>
      <c r="H228" s="42" t="s">
        <v>1778</v>
      </c>
      <c r="I228" s="42" t="s">
        <v>1913</v>
      </c>
      <c r="J228" s="45">
        <v>42005</v>
      </c>
      <c r="K228" s="128">
        <v>0</v>
      </c>
      <c r="L228" s="45">
        <v>42005</v>
      </c>
      <c r="M228" s="45">
        <v>42583</v>
      </c>
      <c r="N228" s="128">
        <f t="shared" si="10"/>
        <v>20</v>
      </c>
      <c r="O228" s="137">
        <v>1150000</v>
      </c>
      <c r="P228" s="129">
        <f>Q228+R228+S228</f>
        <v>67110000</v>
      </c>
      <c r="Q228" s="129">
        <f>SUM(Q229:Q230)</f>
        <v>34860000</v>
      </c>
      <c r="R228" s="129">
        <f>7200000+600000+50000+8250000+7000000+9150000</f>
        <v>32250000</v>
      </c>
      <c r="S228" s="129">
        <v>0</v>
      </c>
      <c r="T228" s="255" t="s">
        <v>2031</v>
      </c>
      <c r="U228" s="240">
        <v>42662</v>
      </c>
    </row>
    <row r="229" spans="1:21" s="294" customFormat="1" ht="27" customHeight="1" hidden="1" outlineLevel="1">
      <c r="A229" s="274">
        <f>IF(B229&lt;&gt;"",SUBTOTAL(103,$D$7:$D229),"")</f>
      </c>
      <c r="B229" s="220">
        <f>IF(C229&lt;&gt;"",SUBTOTAL(103,$C$81:$C229),"")</f>
      </c>
      <c r="C229" s="143"/>
      <c r="D229" s="217"/>
      <c r="E229" s="306"/>
      <c r="F229" s="42"/>
      <c r="G229" s="42"/>
      <c r="H229" s="42"/>
      <c r="I229" s="42"/>
      <c r="J229" s="45"/>
      <c r="K229" s="128"/>
      <c r="L229" s="45">
        <v>42005</v>
      </c>
      <c r="M229" s="45">
        <v>42461</v>
      </c>
      <c r="N229" s="128">
        <f t="shared" si="10"/>
        <v>16</v>
      </c>
      <c r="O229" s="137">
        <v>1150000</v>
      </c>
      <c r="P229" s="129"/>
      <c r="Q229" s="129">
        <f aca="true" t="shared" si="11" ref="Q229:Q251">N229*O229*1.5</f>
        <v>27600000</v>
      </c>
      <c r="R229" s="129"/>
      <c r="S229" s="129"/>
      <c r="T229" s="255"/>
      <c r="U229" s="240"/>
    </row>
    <row r="230" spans="1:21" s="294" customFormat="1" ht="27" customHeight="1" hidden="1" outlineLevel="1">
      <c r="A230" s="274">
        <f>IF(B230&lt;&gt;"",SUBTOTAL(103,$D$7:$D230),"")</f>
      </c>
      <c r="B230" s="220">
        <f>IF(C230&lt;&gt;"",SUBTOTAL(103,$C$81:$C230),"")</f>
      </c>
      <c r="C230" s="143"/>
      <c r="D230" s="217"/>
      <c r="E230" s="306"/>
      <c r="F230" s="42"/>
      <c r="G230" s="42"/>
      <c r="H230" s="42"/>
      <c r="I230" s="42"/>
      <c r="J230" s="45"/>
      <c r="K230" s="128"/>
      <c r="L230" s="45">
        <v>42491</v>
      </c>
      <c r="M230" s="45">
        <v>42583</v>
      </c>
      <c r="N230" s="128">
        <f t="shared" si="10"/>
        <v>4</v>
      </c>
      <c r="O230" s="137">
        <v>1210000</v>
      </c>
      <c r="P230" s="129"/>
      <c r="Q230" s="129">
        <f t="shared" si="11"/>
        <v>7260000</v>
      </c>
      <c r="R230" s="129"/>
      <c r="S230" s="129"/>
      <c r="T230" s="255"/>
      <c r="U230" s="240"/>
    </row>
    <row r="231" spans="1:21" s="204" customFormat="1" ht="27" customHeight="1" collapsed="1">
      <c r="A231" s="274">
        <f>IF(B231&lt;&gt;"",SUBTOTAL(103,$D$7:$D231),"")</f>
        <v>107</v>
      </c>
      <c r="B231" s="220">
        <f>IF(C231&lt;&gt;"",SUBTOTAL(103,$C$81:$C231),"")</f>
        <v>71</v>
      </c>
      <c r="C231" s="244" t="s">
        <v>1681</v>
      </c>
      <c r="D231" s="47" t="s">
        <v>1914</v>
      </c>
      <c r="E231" s="244" t="s">
        <v>1915</v>
      </c>
      <c r="F231" s="42" t="s">
        <v>1916</v>
      </c>
      <c r="G231" s="42" t="s">
        <v>1198</v>
      </c>
      <c r="H231" s="42" t="s">
        <v>1778</v>
      </c>
      <c r="I231" s="42" t="s">
        <v>252</v>
      </c>
      <c r="J231" s="45">
        <v>41640</v>
      </c>
      <c r="K231" s="128">
        <v>0</v>
      </c>
      <c r="L231" s="45">
        <v>41640</v>
      </c>
      <c r="M231" s="45">
        <v>42217</v>
      </c>
      <c r="N231" s="128">
        <f t="shared" si="10"/>
        <v>20</v>
      </c>
      <c r="O231" s="137">
        <v>1150000</v>
      </c>
      <c r="P231" s="129">
        <f aca="true" t="shared" si="12" ref="P231:P248">Q231+R231+S231</f>
        <v>50025000</v>
      </c>
      <c r="Q231" s="129">
        <f t="shared" si="11"/>
        <v>34500000</v>
      </c>
      <c r="R231" s="129">
        <f>8300000+7225000</f>
        <v>15525000</v>
      </c>
      <c r="S231" s="129">
        <v>0</v>
      </c>
      <c r="T231" s="255" t="s">
        <v>1596</v>
      </c>
      <c r="U231" s="240">
        <v>42662</v>
      </c>
    </row>
    <row r="232" spans="1:21" s="204" customFormat="1" ht="27" customHeight="1">
      <c r="A232" s="274">
        <f>IF(B232&lt;&gt;"",SUBTOTAL(103,$D$7:$D232),"")</f>
        <v>108</v>
      </c>
      <c r="B232" s="220">
        <f>IF(C232&lt;&gt;"",SUBTOTAL(103,$C$81:$C232),"")</f>
        <v>72</v>
      </c>
      <c r="C232" s="244" t="s">
        <v>1298</v>
      </c>
      <c r="D232" s="47" t="s">
        <v>1917</v>
      </c>
      <c r="E232" s="244" t="s">
        <v>1682</v>
      </c>
      <c r="F232" s="42" t="s">
        <v>1918</v>
      </c>
      <c r="G232" s="42" t="s">
        <v>1198</v>
      </c>
      <c r="H232" s="42" t="s">
        <v>1286</v>
      </c>
      <c r="I232" s="42" t="s">
        <v>252</v>
      </c>
      <c r="J232" s="45">
        <v>41640</v>
      </c>
      <c r="K232" s="128">
        <v>0</v>
      </c>
      <c r="L232" s="45">
        <v>41640</v>
      </c>
      <c r="M232" s="45">
        <v>42217</v>
      </c>
      <c r="N232" s="128">
        <f t="shared" si="10"/>
        <v>20</v>
      </c>
      <c r="O232" s="137">
        <v>1150000</v>
      </c>
      <c r="P232" s="129">
        <f t="shared" si="12"/>
        <v>84525000</v>
      </c>
      <c r="Q232" s="129">
        <f t="shared" si="11"/>
        <v>34500000</v>
      </c>
      <c r="R232" s="129">
        <f>8300000+7225000</f>
        <v>15525000</v>
      </c>
      <c r="S232" s="129">
        <f>30*O232</f>
        <v>34500000</v>
      </c>
      <c r="T232" s="255" t="s">
        <v>2032</v>
      </c>
      <c r="U232" s="240">
        <v>42662</v>
      </c>
    </row>
    <row r="233" spans="1:21" s="204" customFormat="1" ht="27" customHeight="1">
      <c r="A233" s="274">
        <f>IF(B233&lt;&gt;"",SUBTOTAL(103,$D$7:$D233),"")</f>
        <v>109</v>
      </c>
      <c r="B233" s="220">
        <f>IF(C233&lt;&gt;"",SUBTOTAL(103,$C$81:$C233),"")</f>
        <v>73</v>
      </c>
      <c r="C233" s="244" t="s">
        <v>1683</v>
      </c>
      <c r="D233" s="47" t="s">
        <v>1919</v>
      </c>
      <c r="E233" s="244" t="s">
        <v>1684</v>
      </c>
      <c r="F233" s="42" t="s">
        <v>1920</v>
      </c>
      <c r="G233" s="42" t="s">
        <v>1198</v>
      </c>
      <c r="H233" s="42" t="s">
        <v>1798</v>
      </c>
      <c r="I233" s="42" t="s">
        <v>1462</v>
      </c>
      <c r="J233" s="45">
        <v>41640</v>
      </c>
      <c r="K233" s="128">
        <v>0</v>
      </c>
      <c r="L233" s="45">
        <v>41640</v>
      </c>
      <c r="M233" s="45">
        <v>42217</v>
      </c>
      <c r="N233" s="128">
        <f t="shared" si="10"/>
        <v>20</v>
      </c>
      <c r="O233" s="137">
        <v>1150000</v>
      </c>
      <c r="P233" s="129">
        <f t="shared" si="12"/>
        <v>84525000</v>
      </c>
      <c r="Q233" s="129">
        <f t="shared" si="11"/>
        <v>34500000</v>
      </c>
      <c r="R233" s="129">
        <f>7275000+8250000</f>
        <v>15525000</v>
      </c>
      <c r="S233" s="129">
        <f>30*O233</f>
        <v>34500000</v>
      </c>
      <c r="T233" s="255" t="s">
        <v>2033</v>
      </c>
      <c r="U233" s="240">
        <v>42662</v>
      </c>
    </row>
    <row r="234" spans="1:21" s="204" customFormat="1" ht="27" customHeight="1">
      <c r="A234" s="274">
        <f>IF(B234&lt;&gt;"",SUBTOTAL(103,$D$7:$D234),"")</f>
        <v>110</v>
      </c>
      <c r="B234" s="220">
        <f>IF(C234&lt;&gt;"",SUBTOTAL(103,$C$81:$C234),"")</f>
        <v>74</v>
      </c>
      <c r="C234" s="244" t="s">
        <v>1685</v>
      </c>
      <c r="D234" s="47" t="s">
        <v>1921</v>
      </c>
      <c r="E234" s="244" t="s">
        <v>1686</v>
      </c>
      <c r="F234" s="42" t="s">
        <v>1922</v>
      </c>
      <c r="G234" s="42" t="s">
        <v>1198</v>
      </c>
      <c r="H234" s="42" t="s">
        <v>1923</v>
      </c>
      <c r="I234" s="42" t="s">
        <v>1924</v>
      </c>
      <c r="J234" s="45">
        <v>41640</v>
      </c>
      <c r="K234" s="128">
        <v>0</v>
      </c>
      <c r="L234" s="45">
        <v>41640</v>
      </c>
      <c r="M234" s="45">
        <v>42217</v>
      </c>
      <c r="N234" s="128">
        <f t="shared" si="10"/>
        <v>20</v>
      </c>
      <c r="O234" s="137">
        <v>1150000</v>
      </c>
      <c r="P234" s="129">
        <f t="shared" si="12"/>
        <v>47647500</v>
      </c>
      <c r="Q234" s="129">
        <f t="shared" si="11"/>
        <v>34500000</v>
      </c>
      <c r="R234" s="129">
        <f>6787500+6360000</f>
        <v>13147500</v>
      </c>
      <c r="S234" s="129">
        <v>0</v>
      </c>
      <c r="T234" s="255" t="s">
        <v>1925</v>
      </c>
      <c r="U234" s="240">
        <v>42662</v>
      </c>
    </row>
    <row r="235" spans="1:21" s="204" customFormat="1" ht="27" customHeight="1">
      <c r="A235" s="274">
        <f>IF(B235&lt;&gt;"",SUBTOTAL(103,$D$7:$D235),"")</f>
        <v>111</v>
      </c>
      <c r="B235" s="220">
        <f>IF(C235&lt;&gt;"",SUBTOTAL(103,$C$81:$C235),"")</f>
        <v>75</v>
      </c>
      <c r="C235" s="244" t="s">
        <v>1687</v>
      </c>
      <c r="D235" s="47" t="s">
        <v>1926</v>
      </c>
      <c r="E235" s="244" t="s">
        <v>1688</v>
      </c>
      <c r="F235" s="42" t="s">
        <v>1927</v>
      </c>
      <c r="G235" s="42" t="s">
        <v>1198</v>
      </c>
      <c r="H235" s="42" t="s">
        <v>1804</v>
      </c>
      <c r="I235" s="42" t="s">
        <v>1289</v>
      </c>
      <c r="J235" s="45">
        <v>41640</v>
      </c>
      <c r="K235" s="128">
        <v>0</v>
      </c>
      <c r="L235" s="45">
        <v>41640</v>
      </c>
      <c r="M235" s="45">
        <v>42217</v>
      </c>
      <c r="N235" s="128">
        <f t="shared" si="10"/>
        <v>20</v>
      </c>
      <c r="O235" s="137">
        <v>1150000</v>
      </c>
      <c r="P235" s="129">
        <f t="shared" si="12"/>
        <v>87225000</v>
      </c>
      <c r="Q235" s="129">
        <f t="shared" si="11"/>
        <v>34500000</v>
      </c>
      <c r="R235" s="129">
        <f>8475000+9750000</f>
        <v>18225000</v>
      </c>
      <c r="S235" s="129">
        <f>30*O235</f>
        <v>34500000</v>
      </c>
      <c r="T235" s="255" t="s">
        <v>2034</v>
      </c>
      <c r="U235" s="240">
        <v>42662</v>
      </c>
    </row>
    <row r="236" spans="1:21" s="204" customFormat="1" ht="27" customHeight="1">
      <c r="A236" s="274">
        <f>IF(B236&lt;&gt;"",SUBTOTAL(103,$D$7:$D236),"")</f>
        <v>112</v>
      </c>
      <c r="B236" s="220">
        <f>IF(C236&lt;&gt;"",SUBTOTAL(103,$C$81:$C236),"")</f>
        <v>76</v>
      </c>
      <c r="C236" s="244" t="s">
        <v>1689</v>
      </c>
      <c r="D236" s="47" t="s">
        <v>1928</v>
      </c>
      <c r="E236" s="244" t="s">
        <v>1684</v>
      </c>
      <c r="F236" s="42" t="s">
        <v>1929</v>
      </c>
      <c r="G236" s="42" t="s">
        <v>1198</v>
      </c>
      <c r="H236" s="42" t="s">
        <v>1764</v>
      </c>
      <c r="I236" s="42" t="s">
        <v>1930</v>
      </c>
      <c r="J236" s="45">
        <v>41640</v>
      </c>
      <c r="K236" s="128">
        <v>0</v>
      </c>
      <c r="L236" s="45">
        <v>41640</v>
      </c>
      <c r="M236" s="45">
        <v>42217</v>
      </c>
      <c r="N236" s="128">
        <f t="shared" si="10"/>
        <v>20</v>
      </c>
      <c r="O236" s="137">
        <v>1150000</v>
      </c>
      <c r="P236" s="129">
        <f t="shared" si="12"/>
        <v>50025000</v>
      </c>
      <c r="Q236" s="129">
        <f t="shared" si="11"/>
        <v>34500000</v>
      </c>
      <c r="R236" s="129">
        <f>8250000+7275000</f>
        <v>15525000</v>
      </c>
      <c r="S236" s="129">
        <v>0</v>
      </c>
      <c r="T236" s="255" t="s">
        <v>2035</v>
      </c>
      <c r="U236" s="240">
        <v>42662</v>
      </c>
    </row>
    <row r="237" spans="1:21" s="204" customFormat="1" ht="27" customHeight="1">
      <c r="A237" s="274">
        <f>IF(B237&lt;&gt;"",SUBTOTAL(103,$D$7:$D237),"")</f>
        <v>113</v>
      </c>
      <c r="B237" s="220">
        <f>IF(C237&lt;&gt;"",SUBTOTAL(103,$C$81:$C237),"")</f>
        <v>77</v>
      </c>
      <c r="C237" s="244" t="s">
        <v>1690</v>
      </c>
      <c r="D237" s="47" t="s">
        <v>1931</v>
      </c>
      <c r="E237" s="244" t="s">
        <v>1682</v>
      </c>
      <c r="F237" s="42" t="s">
        <v>1932</v>
      </c>
      <c r="G237" s="42" t="s">
        <v>1198</v>
      </c>
      <c r="H237" s="42" t="s">
        <v>1360</v>
      </c>
      <c r="I237" s="42" t="s">
        <v>1933</v>
      </c>
      <c r="J237" s="45">
        <v>41640</v>
      </c>
      <c r="K237" s="128">
        <v>0</v>
      </c>
      <c r="L237" s="45">
        <v>41640</v>
      </c>
      <c r="M237" s="45">
        <v>42217</v>
      </c>
      <c r="N237" s="128">
        <f t="shared" si="10"/>
        <v>20</v>
      </c>
      <c r="O237" s="137">
        <v>1150000</v>
      </c>
      <c r="P237" s="129">
        <f t="shared" si="12"/>
        <v>54150000</v>
      </c>
      <c r="Q237" s="129">
        <f t="shared" si="11"/>
        <v>34500000</v>
      </c>
      <c r="R237" s="129">
        <f>12150000+7500000</f>
        <v>19650000</v>
      </c>
      <c r="S237" s="129">
        <v>0</v>
      </c>
      <c r="T237" s="255" t="s">
        <v>2036</v>
      </c>
      <c r="U237" s="240">
        <v>42662</v>
      </c>
    </row>
    <row r="238" spans="1:21" s="204" customFormat="1" ht="27" customHeight="1">
      <c r="A238" s="274">
        <f>IF(B238&lt;&gt;"",SUBTOTAL(103,$D$7:$D238),"")</f>
        <v>114</v>
      </c>
      <c r="B238" s="220">
        <f>IF(C238&lt;&gt;"",SUBTOTAL(103,$C$81:$C238),"")</f>
        <v>78</v>
      </c>
      <c r="C238" s="244" t="s">
        <v>1691</v>
      </c>
      <c r="D238" s="47" t="s">
        <v>1934</v>
      </c>
      <c r="E238" s="244" t="s">
        <v>1604</v>
      </c>
      <c r="F238" s="42" t="s">
        <v>1935</v>
      </c>
      <c r="G238" s="42" t="s">
        <v>1198</v>
      </c>
      <c r="H238" s="42" t="s">
        <v>1287</v>
      </c>
      <c r="I238" s="42" t="s">
        <v>1289</v>
      </c>
      <c r="J238" s="45">
        <v>41640</v>
      </c>
      <c r="K238" s="128">
        <v>0</v>
      </c>
      <c r="L238" s="45">
        <v>41640</v>
      </c>
      <c r="M238" s="45">
        <v>42217</v>
      </c>
      <c r="N238" s="128">
        <f t="shared" si="10"/>
        <v>20</v>
      </c>
      <c r="O238" s="137">
        <v>1150000</v>
      </c>
      <c r="P238" s="129">
        <f t="shared" si="12"/>
        <v>87225000</v>
      </c>
      <c r="Q238" s="129">
        <f t="shared" si="11"/>
        <v>34500000</v>
      </c>
      <c r="R238" s="129">
        <f>9750000+8475000</f>
        <v>18225000</v>
      </c>
      <c r="S238" s="129">
        <f>30*O238</f>
        <v>34500000</v>
      </c>
      <c r="T238" s="255" t="s">
        <v>2037</v>
      </c>
      <c r="U238" s="240">
        <v>42662</v>
      </c>
    </row>
    <row r="239" spans="1:21" s="204" customFormat="1" ht="27" customHeight="1">
      <c r="A239" s="274">
        <f>IF(B239&lt;&gt;"",SUBTOTAL(103,$D$7:$D239),"")</f>
        <v>115</v>
      </c>
      <c r="B239" s="220">
        <f>IF(C239&lt;&gt;"",SUBTOTAL(103,$C$81:$C239),"")</f>
        <v>79</v>
      </c>
      <c r="C239" s="244" t="s">
        <v>1692</v>
      </c>
      <c r="D239" s="47" t="s">
        <v>1936</v>
      </c>
      <c r="E239" s="244" t="s">
        <v>1693</v>
      </c>
      <c r="F239" s="42" t="s">
        <v>1937</v>
      </c>
      <c r="G239" s="42" t="s">
        <v>1198</v>
      </c>
      <c r="H239" s="42" t="s">
        <v>1938</v>
      </c>
      <c r="I239" s="42" t="s">
        <v>252</v>
      </c>
      <c r="J239" s="45">
        <v>41640</v>
      </c>
      <c r="K239" s="128">
        <v>0</v>
      </c>
      <c r="L239" s="45">
        <v>41640</v>
      </c>
      <c r="M239" s="45">
        <v>42217</v>
      </c>
      <c r="N239" s="128">
        <f t="shared" si="10"/>
        <v>20</v>
      </c>
      <c r="O239" s="137">
        <v>1150000</v>
      </c>
      <c r="P239" s="129">
        <f t="shared" si="12"/>
        <v>52725000</v>
      </c>
      <c r="Q239" s="129">
        <f t="shared" si="11"/>
        <v>34500000</v>
      </c>
      <c r="R239" s="129">
        <f>7700000+10525000</f>
        <v>18225000</v>
      </c>
      <c r="S239" s="129">
        <v>0</v>
      </c>
      <c r="T239" s="255" t="s">
        <v>1939</v>
      </c>
      <c r="U239" s="240">
        <v>42662</v>
      </c>
    </row>
    <row r="240" spans="1:21" s="204" customFormat="1" ht="27" customHeight="1">
      <c r="A240" s="274">
        <f>IF(B240&lt;&gt;"",SUBTOTAL(103,$D$7:$D240),"")</f>
        <v>116</v>
      </c>
      <c r="B240" s="220">
        <f>IF(C240&lt;&gt;"",SUBTOTAL(103,$C$81:$C240),"")</f>
        <v>80</v>
      </c>
      <c r="C240" s="244" t="s">
        <v>1694</v>
      </c>
      <c r="D240" s="47" t="s">
        <v>1940</v>
      </c>
      <c r="E240" s="244" t="s">
        <v>1682</v>
      </c>
      <c r="F240" s="42" t="s">
        <v>1941</v>
      </c>
      <c r="G240" s="42" t="s">
        <v>1198</v>
      </c>
      <c r="H240" s="42" t="s">
        <v>632</v>
      </c>
      <c r="I240" s="42" t="s">
        <v>1297</v>
      </c>
      <c r="J240" s="45">
        <v>41640</v>
      </c>
      <c r="K240" s="128">
        <v>0</v>
      </c>
      <c r="L240" s="45">
        <v>41640</v>
      </c>
      <c r="M240" s="45">
        <v>42217</v>
      </c>
      <c r="N240" s="128">
        <f t="shared" si="10"/>
        <v>20</v>
      </c>
      <c r="O240" s="137">
        <v>1150000</v>
      </c>
      <c r="P240" s="129">
        <f t="shared" si="12"/>
        <v>50025000</v>
      </c>
      <c r="Q240" s="129">
        <f t="shared" si="11"/>
        <v>34500000</v>
      </c>
      <c r="R240" s="129">
        <f>8250000+7275000</f>
        <v>15525000</v>
      </c>
      <c r="S240" s="129">
        <v>0</v>
      </c>
      <c r="T240" s="255" t="s">
        <v>1939</v>
      </c>
      <c r="U240" s="240">
        <v>42662</v>
      </c>
    </row>
    <row r="241" spans="1:21" s="204" customFormat="1" ht="27" customHeight="1">
      <c r="A241" s="274">
        <f>IF(B241&lt;&gt;"",SUBTOTAL(103,$D$7:$D241),"")</f>
        <v>117</v>
      </c>
      <c r="B241" s="220">
        <f>IF(C241&lt;&gt;"",SUBTOTAL(103,$C$81:$C241),"")</f>
        <v>81</v>
      </c>
      <c r="C241" s="244" t="s">
        <v>1695</v>
      </c>
      <c r="D241" s="47" t="s">
        <v>1942</v>
      </c>
      <c r="E241" s="244" t="s">
        <v>1688</v>
      </c>
      <c r="F241" s="42" t="s">
        <v>1943</v>
      </c>
      <c r="G241" s="42" t="s">
        <v>1198</v>
      </c>
      <c r="H241" s="42" t="s">
        <v>124</v>
      </c>
      <c r="I241" s="42" t="s">
        <v>1297</v>
      </c>
      <c r="J241" s="45">
        <v>41640</v>
      </c>
      <c r="K241" s="128">
        <v>0</v>
      </c>
      <c r="L241" s="45">
        <v>41640</v>
      </c>
      <c r="M241" s="45">
        <v>42217</v>
      </c>
      <c r="N241" s="128">
        <f t="shared" si="10"/>
        <v>20</v>
      </c>
      <c r="O241" s="137">
        <v>1150000</v>
      </c>
      <c r="P241" s="129">
        <f t="shared" si="12"/>
        <v>50025000</v>
      </c>
      <c r="Q241" s="129">
        <f t="shared" si="11"/>
        <v>34500000</v>
      </c>
      <c r="R241" s="129">
        <f>7275000+8250000</f>
        <v>15525000</v>
      </c>
      <c r="S241" s="129">
        <v>0</v>
      </c>
      <c r="T241" s="255" t="s">
        <v>2029</v>
      </c>
      <c r="U241" s="240">
        <v>42662</v>
      </c>
    </row>
    <row r="242" spans="1:21" s="204" customFormat="1" ht="27" customHeight="1">
      <c r="A242" s="274">
        <f>IF(B242&lt;&gt;"",SUBTOTAL(103,$D$7:$D242),"")</f>
        <v>118</v>
      </c>
      <c r="B242" s="220">
        <f>IF(C242&lt;&gt;"",SUBTOTAL(103,$C$81:$C242),"")</f>
        <v>82</v>
      </c>
      <c r="C242" s="244" t="s">
        <v>1696</v>
      </c>
      <c r="D242" s="47" t="s">
        <v>1031</v>
      </c>
      <c r="E242" s="244" t="s">
        <v>1697</v>
      </c>
      <c r="F242" s="42" t="s">
        <v>1944</v>
      </c>
      <c r="G242" s="42" t="s">
        <v>1198</v>
      </c>
      <c r="H242" s="42" t="s">
        <v>1945</v>
      </c>
      <c r="I242" s="42" t="s">
        <v>1946</v>
      </c>
      <c r="J242" s="45">
        <v>41640</v>
      </c>
      <c r="K242" s="128">
        <v>0</v>
      </c>
      <c r="L242" s="45">
        <v>41640</v>
      </c>
      <c r="M242" s="45">
        <v>42217</v>
      </c>
      <c r="N242" s="128">
        <f t="shared" si="10"/>
        <v>20</v>
      </c>
      <c r="O242" s="137">
        <v>1150000</v>
      </c>
      <c r="P242" s="129">
        <f t="shared" si="12"/>
        <v>49550000</v>
      </c>
      <c r="Q242" s="129">
        <f t="shared" si="11"/>
        <v>34500000</v>
      </c>
      <c r="R242" s="129">
        <f>6800000+8250000</f>
        <v>15050000</v>
      </c>
      <c r="S242" s="129">
        <v>0</v>
      </c>
      <c r="T242" s="255" t="s">
        <v>1596</v>
      </c>
      <c r="U242" s="240">
        <v>42662</v>
      </c>
    </row>
    <row r="243" spans="1:21" s="204" customFormat="1" ht="27" customHeight="1">
      <c r="A243" s="274">
        <f>IF(B243&lt;&gt;"",SUBTOTAL(103,$D$7:$D243),"")</f>
        <v>119</v>
      </c>
      <c r="B243" s="220">
        <f>IF(C243&lt;&gt;"",SUBTOTAL(103,$C$81:$C243),"")</f>
        <v>83</v>
      </c>
      <c r="C243" s="244" t="s">
        <v>1698</v>
      </c>
      <c r="D243" s="47" t="s">
        <v>1947</v>
      </c>
      <c r="E243" s="244" t="s">
        <v>1688</v>
      </c>
      <c r="F243" s="42" t="s">
        <v>1948</v>
      </c>
      <c r="G243" s="42" t="s">
        <v>1198</v>
      </c>
      <c r="H243" s="42" t="s">
        <v>1949</v>
      </c>
      <c r="I243" s="42" t="s">
        <v>1289</v>
      </c>
      <c r="J243" s="45">
        <v>41640</v>
      </c>
      <c r="K243" s="128">
        <v>0</v>
      </c>
      <c r="L243" s="45">
        <v>41640</v>
      </c>
      <c r="M243" s="45">
        <v>42217</v>
      </c>
      <c r="N243" s="128">
        <f t="shared" si="10"/>
        <v>20</v>
      </c>
      <c r="O243" s="137">
        <v>1150000</v>
      </c>
      <c r="P243" s="129">
        <f t="shared" si="12"/>
        <v>84525000</v>
      </c>
      <c r="Q243" s="129">
        <f t="shared" si="11"/>
        <v>34500000</v>
      </c>
      <c r="R243" s="129">
        <f>8250000+7275000</f>
        <v>15525000</v>
      </c>
      <c r="S243" s="129">
        <f>30*O243</f>
        <v>34500000</v>
      </c>
      <c r="T243" s="255" t="s">
        <v>2038</v>
      </c>
      <c r="U243" s="240">
        <v>42662</v>
      </c>
    </row>
    <row r="244" spans="1:21" s="204" customFormat="1" ht="27" customHeight="1">
      <c r="A244" s="274">
        <f>IF(B244&lt;&gt;"",SUBTOTAL(103,$D$7:$D244),"")</f>
        <v>120</v>
      </c>
      <c r="B244" s="220">
        <f>IF(C244&lt;&gt;"",SUBTOTAL(103,$C$81:$C244),"")</f>
        <v>84</v>
      </c>
      <c r="C244" s="244" t="s">
        <v>1699</v>
      </c>
      <c r="D244" s="47" t="s">
        <v>1950</v>
      </c>
      <c r="E244" s="244" t="s">
        <v>1688</v>
      </c>
      <c r="F244" s="42" t="s">
        <v>1951</v>
      </c>
      <c r="G244" s="42" t="s">
        <v>1198</v>
      </c>
      <c r="H244" s="42" t="s">
        <v>1764</v>
      </c>
      <c r="I244" s="42" t="s">
        <v>1297</v>
      </c>
      <c r="J244" s="45">
        <v>41640</v>
      </c>
      <c r="K244" s="128">
        <v>0</v>
      </c>
      <c r="L244" s="45">
        <v>41640</v>
      </c>
      <c r="M244" s="45">
        <v>42217</v>
      </c>
      <c r="N244" s="128">
        <f t="shared" si="10"/>
        <v>20</v>
      </c>
      <c r="O244" s="137">
        <v>1150000</v>
      </c>
      <c r="P244" s="129">
        <f t="shared" si="12"/>
        <v>50025000</v>
      </c>
      <c r="Q244" s="129">
        <f t="shared" si="11"/>
        <v>34500000</v>
      </c>
      <c r="R244" s="129">
        <f>7275000+8250000</f>
        <v>15525000</v>
      </c>
      <c r="S244" s="129">
        <v>0</v>
      </c>
      <c r="T244" s="255" t="s">
        <v>1596</v>
      </c>
      <c r="U244" s="240">
        <v>42662</v>
      </c>
    </row>
    <row r="245" spans="1:21" s="204" customFormat="1" ht="27" customHeight="1">
      <c r="A245" s="274">
        <f>IF(B245&lt;&gt;"",SUBTOTAL(103,$D$7:$D245),"")</f>
        <v>121</v>
      </c>
      <c r="B245" s="220">
        <f>IF(C245&lt;&gt;"",SUBTOTAL(103,$C$81:$C245),"")</f>
        <v>85</v>
      </c>
      <c r="C245" s="244" t="s">
        <v>1700</v>
      </c>
      <c r="D245" s="47" t="s">
        <v>1952</v>
      </c>
      <c r="E245" s="244" t="s">
        <v>1625</v>
      </c>
      <c r="F245" s="42" t="s">
        <v>1953</v>
      </c>
      <c r="G245" s="42" t="s">
        <v>1198</v>
      </c>
      <c r="H245" s="42" t="s">
        <v>43</v>
      </c>
      <c r="I245" s="42" t="s">
        <v>1946</v>
      </c>
      <c r="J245" s="45">
        <v>41640</v>
      </c>
      <c r="K245" s="128">
        <v>0</v>
      </c>
      <c r="L245" s="45">
        <v>41640</v>
      </c>
      <c r="M245" s="45">
        <v>42217</v>
      </c>
      <c r="N245" s="128">
        <f t="shared" si="10"/>
        <v>20</v>
      </c>
      <c r="O245" s="137">
        <v>1150000</v>
      </c>
      <c r="P245" s="129">
        <f t="shared" si="12"/>
        <v>49550000</v>
      </c>
      <c r="Q245" s="129">
        <f t="shared" si="11"/>
        <v>34500000</v>
      </c>
      <c r="R245" s="129">
        <f>6800000+8250000</f>
        <v>15050000</v>
      </c>
      <c r="S245" s="129">
        <v>0</v>
      </c>
      <c r="T245" s="255" t="s">
        <v>1954</v>
      </c>
      <c r="U245" s="240">
        <v>42662</v>
      </c>
    </row>
    <row r="246" spans="1:21" s="204" customFormat="1" ht="27" customHeight="1">
      <c r="A246" s="274">
        <f>IF(B246&lt;&gt;"",SUBTOTAL(103,$D$7:$D246),"")</f>
        <v>122</v>
      </c>
      <c r="B246" s="220">
        <f>IF(C246&lt;&gt;"",SUBTOTAL(103,$C$81:$C246),"")</f>
        <v>86</v>
      </c>
      <c r="C246" s="244" t="s">
        <v>1701</v>
      </c>
      <c r="D246" s="47" t="s">
        <v>1955</v>
      </c>
      <c r="E246" s="244" t="s">
        <v>1702</v>
      </c>
      <c r="F246" s="42" t="s">
        <v>1953</v>
      </c>
      <c r="G246" s="42" t="s">
        <v>1198</v>
      </c>
      <c r="H246" s="42" t="s">
        <v>1379</v>
      </c>
      <c r="I246" s="42" t="s">
        <v>1933</v>
      </c>
      <c r="J246" s="45">
        <v>41640</v>
      </c>
      <c r="K246" s="128">
        <v>0</v>
      </c>
      <c r="L246" s="45">
        <v>41640</v>
      </c>
      <c r="M246" s="45">
        <v>42217</v>
      </c>
      <c r="N246" s="128">
        <f t="shared" si="10"/>
        <v>20</v>
      </c>
      <c r="O246" s="137">
        <v>1150000</v>
      </c>
      <c r="P246" s="129">
        <f t="shared" si="12"/>
        <v>88650000</v>
      </c>
      <c r="Q246" s="129">
        <f t="shared" si="11"/>
        <v>34500000</v>
      </c>
      <c r="R246" s="129">
        <f>150000+12000000+7500000</f>
        <v>19650000</v>
      </c>
      <c r="S246" s="129">
        <f>30*O246</f>
        <v>34500000</v>
      </c>
      <c r="T246" s="255" t="s">
        <v>2039</v>
      </c>
      <c r="U246" s="240">
        <v>42662</v>
      </c>
    </row>
    <row r="247" spans="1:21" s="204" customFormat="1" ht="27" customHeight="1">
      <c r="A247" s="274">
        <f>IF(B247&lt;&gt;"",SUBTOTAL(103,$D$7:$D247),"")</f>
        <v>123</v>
      </c>
      <c r="B247" s="220">
        <f>IF(C247&lt;&gt;"",SUBTOTAL(103,$C$81:$C247),"")</f>
        <v>87</v>
      </c>
      <c r="C247" s="244" t="s">
        <v>424</v>
      </c>
      <c r="D247" s="47" t="s">
        <v>1956</v>
      </c>
      <c r="E247" s="244" t="s">
        <v>1703</v>
      </c>
      <c r="F247" s="42" t="s">
        <v>1957</v>
      </c>
      <c r="G247" s="42" t="s">
        <v>1198</v>
      </c>
      <c r="H247" s="42" t="s">
        <v>775</v>
      </c>
      <c r="I247" s="42" t="s">
        <v>1958</v>
      </c>
      <c r="J247" s="45">
        <v>41640</v>
      </c>
      <c r="K247" s="128">
        <v>0</v>
      </c>
      <c r="L247" s="45">
        <v>41640</v>
      </c>
      <c r="M247" s="45">
        <v>42217</v>
      </c>
      <c r="N247" s="128">
        <f t="shared" si="10"/>
        <v>20</v>
      </c>
      <c r="O247" s="137">
        <v>1150000</v>
      </c>
      <c r="P247" s="129">
        <f t="shared" si="12"/>
        <v>87120000</v>
      </c>
      <c r="Q247" s="129">
        <f t="shared" si="11"/>
        <v>34500000</v>
      </c>
      <c r="R247" s="129">
        <f>9870000+8250000</f>
        <v>18120000</v>
      </c>
      <c r="S247" s="129">
        <f>30*O247</f>
        <v>34500000</v>
      </c>
      <c r="T247" s="255" t="s">
        <v>2040</v>
      </c>
      <c r="U247" s="240">
        <v>42662</v>
      </c>
    </row>
    <row r="248" spans="1:21" s="204" customFormat="1" ht="27" customHeight="1">
      <c r="A248" s="274">
        <f>IF(B248&lt;&gt;"",SUBTOTAL(103,$D$7:$D248),"")</f>
        <v>124</v>
      </c>
      <c r="B248" s="220">
        <f>IF(C248&lt;&gt;"",SUBTOTAL(103,$C$81:$C248),"")</f>
        <v>88</v>
      </c>
      <c r="C248" s="244" t="s">
        <v>1704</v>
      </c>
      <c r="D248" s="275" t="s">
        <v>1959</v>
      </c>
      <c r="E248" s="244" t="s">
        <v>1705</v>
      </c>
      <c r="F248" s="42" t="s">
        <v>1960</v>
      </c>
      <c r="G248" s="43" t="s">
        <v>1198</v>
      </c>
      <c r="H248" s="43" t="s">
        <v>1792</v>
      </c>
      <c r="I248" s="43" t="s">
        <v>1289</v>
      </c>
      <c r="J248" s="45">
        <v>41640</v>
      </c>
      <c r="K248" s="128">
        <v>0</v>
      </c>
      <c r="L248" s="45">
        <v>41640</v>
      </c>
      <c r="M248" s="45">
        <v>42217</v>
      </c>
      <c r="N248" s="128">
        <f t="shared" si="10"/>
        <v>20</v>
      </c>
      <c r="O248" s="137">
        <v>1150000</v>
      </c>
      <c r="P248" s="129">
        <f t="shared" si="12"/>
        <v>52725000</v>
      </c>
      <c r="Q248" s="129">
        <f t="shared" si="11"/>
        <v>34500000</v>
      </c>
      <c r="R248" s="129">
        <f>8475000+9750000</f>
        <v>18225000</v>
      </c>
      <c r="S248" s="129">
        <v>0</v>
      </c>
      <c r="T248" s="255" t="s">
        <v>1961</v>
      </c>
      <c r="U248" s="240">
        <v>42662</v>
      </c>
    </row>
    <row r="249" spans="1:21" s="204" customFormat="1" ht="27" customHeight="1">
      <c r="A249" s="274">
        <f>IF(B249&lt;&gt;"",SUBTOTAL(103,$D$7:$D249),"")</f>
        <v>125</v>
      </c>
      <c r="B249" s="220">
        <f>IF(C249&lt;&gt;"",SUBTOTAL(103,$C$81:$C249),"")</f>
        <v>89</v>
      </c>
      <c r="C249" s="221" t="s">
        <v>958</v>
      </c>
      <c r="D249" s="47" t="s">
        <v>1115</v>
      </c>
      <c r="E249" s="42" t="s">
        <v>86</v>
      </c>
      <c r="F249" s="42" t="s">
        <v>959</v>
      </c>
      <c r="G249" s="42" t="s">
        <v>341</v>
      </c>
      <c r="H249" s="42" t="s">
        <v>960</v>
      </c>
      <c r="I249" s="42" t="s">
        <v>961</v>
      </c>
      <c r="J249" s="45">
        <v>41640</v>
      </c>
      <c r="K249" s="128">
        <v>20</v>
      </c>
      <c r="L249" s="295">
        <v>42370</v>
      </c>
      <c r="M249" s="296">
        <v>42644</v>
      </c>
      <c r="N249" s="128">
        <f t="shared" si="10"/>
        <v>10</v>
      </c>
      <c r="O249" s="137">
        <v>1150000</v>
      </c>
      <c r="P249" s="129">
        <f>Q249+R249+S249</f>
        <v>49250000</v>
      </c>
      <c r="Q249" s="129">
        <f t="shared" si="11"/>
        <v>17250000</v>
      </c>
      <c r="R249" s="129">
        <v>32000000</v>
      </c>
      <c r="S249" s="129">
        <v>0</v>
      </c>
      <c r="T249" s="255" t="s">
        <v>1600</v>
      </c>
      <c r="U249" s="240">
        <v>42663</v>
      </c>
    </row>
    <row r="250" spans="1:21" s="204" customFormat="1" ht="27" customHeight="1" hidden="1" outlineLevel="1">
      <c r="A250" s="274">
        <f>IF(B250&lt;&gt;"",SUBTOTAL(103,$D$7:$D250),"")</f>
      </c>
      <c r="B250" s="220">
        <f>IF(C250&lt;&gt;"",SUBTOTAL(103,$C$81:$C250),"")</f>
      </c>
      <c r="C250" s="221"/>
      <c r="D250" s="47"/>
      <c r="E250" s="42"/>
      <c r="F250" s="42"/>
      <c r="G250" s="42"/>
      <c r="H250" s="42"/>
      <c r="I250" s="42"/>
      <c r="J250" s="45"/>
      <c r="K250" s="128"/>
      <c r="L250" s="45">
        <v>42370</v>
      </c>
      <c r="M250" s="45">
        <v>42461</v>
      </c>
      <c r="N250" s="128">
        <f>DATEDIF(L250,M250,"m")+1</f>
        <v>4</v>
      </c>
      <c r="O250" s="137">
        <v>1150000</v>
      </c>
      <c r="P250" s="129"/>
      <c r="Q250" s="129">
        <f t="shared" si="11"/>
        <v>6900000</v>
      </c>
      <c r="R250" s="129"/>
      <c r="S250" s="129"/>
      <c r="T250" s="255"/>
      <c r="U250" s="222"/>
    </row>
    <row r="251" spans="1:21" s="204" customFormat="1" ht="27" customHeight="1" hidden="1" outlineLevel="1">
      <c r="A251" s="274">
        <f>IF(B251&lt;&gt;"",SUBTOTAL(103,$D$7:$D251),"")</f>
      </c>
      <c r="B251" s="220">
        <f>IF(C251&lt;&gt;"",SUBTOTAL(103,$C$81:$C251),"")</f>
      </c>
      <c r="C251" s="221"/>
      <c r="D251" s="47"/>
      <c r="E251" s="42"/>
      <c r="F251" s="42"/>
      <c r="G251" s="42"/>
      <c r="H251" s="42"/>
      <c r="I251" s="42"/>
      <c r="J251" s="45"/>
      <c r="K251" s="128"/>
      <c r="L251" s="45">
        <v>42491</v>
      </c>
      <c r="M251" s="45">
        <v>42644</v>
      </c>
      <c r="N251" s="128">
        <f>DATEDIF(L251,M251,"m")+1</f>
        <v>6</v>
      </c>
      <c r="O251" s="137">
        <v>1210000</v>
      </c>
      <c r="P251" s="129"/>
      <c r="Q251" s="129">
        <f t="shared" si="11"/>
        <v>10890000</v>
      </c>
      <c r="R251" s="129"/>
      <c r="S251" s="129"/>
      <c r="T251" s="255"/>
      <c r="U251" s="222"/>
    </row>
    <row r="252" spans="1:21" s="283" customFormat="1" ht="27" customHeight="1" collapsed="1">
      <c r="A252" s="274">
        <f>IF(B252&lt;&gt;"",SUBTOTAL(103,$D$7:$D252),"")</f>
        <v>126</v>
      </c>
      <c r="B252" s="220">
        <f>IF(C252&lt;&gt;"",SUBTOTAL(103,$C$81:$C252),"")</f>
        <v>90</v>
      </c>
      <c r="C252" s="221" t="s">
        <v>962</v>
      </c>
      <c r="D252" s="47" t="s">
        <v>963</v>
      </c>
      <c r="E252" s="42" t="s">
        <v>87</v>
      </c>
      <c r="F252" s="42" t="s">
        <v>964</v>
      </c>
      <c r="G252" s="42" t="s">
        <v>341</v>
      </c>
      <c r="H252" s="42" t="s">
        <v>157</v>
      </c>
      <c r="I252" s="42" t="s">
        <v>965</v>
      </c>
      <c r="J252" s="45">
        <v>41640</v>
      </c>
      <c r="K252" s="128">
        <v>20</v>
      </c>
      <c r="L252" s="45">
        <v>42370</v>
      </c>
      <c r="M252" s="45">
        <v>42644</v>
      </c>
      <c r="N252" s="128">
        <f t="shared" si="10"/>
        <v>10</v>
      </c>
      <c r="O252" s="217"/>
      <c r="P252" s="129">
        <f>Q252+R252+S252</f>
        <v>17790000</v>
      </c>
      <c r="Q252" s="129">
        <f>SUM(Q253:Q254)</f>
        <v>17790000</v>
      </c>
      <c r="R252" s="129">
        <v>0</v>
      </c>
      <c r="S252" s="129">
        <v>0</v>
      </c>
      <c r="T252" s="258" t="s">
        <v>1962</v>
      </c>
      <c r="U252" s="240">
        <v>42663</v>
      </c>
    </row>
    <row r="253" spans="1:21" s="283" customFormat="1" ht="27" customHeight="1" hidden="1" outlineLevel="1">
      <c r="A253" s="274">
        <f>IF(B253&lt;&gt;"",SUBTOTAL(103,$D$7:$D253),"")</f>
      </c>
      <c r="B253" s="220">
        <f>IF(C253&lt;&gt;"",SUBTOTAL(103,$C$81:$C253),"")</f>
      </c>
      <c r="C253" s="221"/>
      <c r="D253" s="47"/>
      <c r="E253" s="42"/>
      <c r="F253" s="42"/>
      <c r="G253" s="42"/>
      <c r="H253" s="42"/>
      <c r="I253" s="42"/>
      <c r="J253" s="45"/>
      <c r="K253" s="128"/>
      <c r="L253" s="45">
        <v>42370</v>
      </c>
      <c r="M253" s="45">
        <v>42461</v>
      </c>
      <c r="N253" s="128">
        <f t="shared" si="10"/>
        <v>4</v>
      </c>
      <c r="O253" s="137">
        <v>1150000</v>
      </c>
      <c r="P253" s="129"/>
      <c r="Q253" s="129">
        <f>N253*O253*1.5</f>
        <v>6900000</v>
      </c>
      <c r="R253" s="129"/>
      <c r="S253" s="129"/>
      <c r="T253" s="255"/>
      <c r="U253" s="222"/>
    </row>
    <row r="254" spans="1:21" s="283" customFormat="1" ht="27" customHeight="1" hidden="1" outlineLevel="1">
      <c r="A254" s="274">
        <f>IF(B254&lt;&gt;"",SUBTOTAL(103,$D$7:$D254),"")</f>
      </c>
      <c r="B254" s="220">
        <f>IF(C254&lt;&gt;"",SUBTOTAL(103,$C$81:$C254),"")</f>
      </c>
      <c r="C254" s="221"/>
      <c r="D254" s="47"/>
      <c r="E254" s="42"/>
      <c r="F254" s="42"/>
      <c r="G254" s="42"/>
      <c r="H254" s="42"/>
      <c r="I254" s="42"/>
      <c r="J254" s="45"/>
      <c r="K254" s="128"/>
      <c r="L254" s="45">
        <v>42491</v>
      </c>
      <c r="M254" s="45">
        <v>42644</v>
      </c>
      <c r="N254" s="128">
        <f>DATEDIF(L254,M254,"m")+1</f>
        <v>6</v>
      </c>
      <c r="O254" s="137">
        <v>1210000</v>
      </c>
      <c r="P254" s="129"/>
      <c r="Q254" s="129">
        <f>N254*O254*1.5</f>
        <v>10890000</v>
      </c>
      <c r="R254" s="129"/>
      <c r="S254" s="129"/>
      <c r="T254" s="255"/>
      <c r="U254" s="222"/>
    </row>
    <row r="255" spans="1:21" s="283" customFormat="1" ht="27" customHeight="1" collapsed="1">
      <c r="A255" s="274">
        <f>IF(B255&lt;&gt;"",SUBTOTAL(103,$D$7:$D255),"")</f>
        <v>127</v>
      </c>
      <c r="B255" s="220">
        <f>IF(C255&lt;&gt;"",SUBTOTAL(103,$C$81:$C255),"")</f>
        <v>91</v>
      </c>
      <c r="C255" s="221" t="s">
        <v>972</v>
      </c>
      <c r="D255" s="47" t="s">
        <v>973</v>
      </c>
      <c r="E255" s="42" t="s">
        <v>88</v>
      </c>
      <c r="F255" s="42" t="s">
        <v>974</v>
      </c>
      <c r="G255" s="42" t="s">
        <v>341</v>
      </c>
      <c r="H255" s="42" t="s">
        <v>849</v>
      </c>
      <c r="I255" s="42" t="s">
        <v>975</v>
      </c>
      <c r="J255" s="45">
        <v>41640</v>
      </c>
      <c r="K255" s="128">
        <v>20</v>
      </c>
      <c r="L255" s="45">
        <v>42370</v>
      </c>
      <c r="M255" s="45">
        <v>42644</v>
      </c>
      <c r="N255" s="128">
        <f>DATEDIF(L255,M255,"m")+1</f>
        <v>10</v>
      </c>
      <c r="O255" s="137"/>
      <c r="P255" s="129">
        <f>Q255+R255+S255</f>
        <v>17790000</v>
      </c>
      <c r="Q255" s="129">
        <f>SUM(Q256:Q257)</f>
        <v>17790000</v>
      </c>
      <c r="R255" s="129">
        <v>0</v>
      </c>
      <c r="S255" s="129">
        <v>0</v>
      </c>
      <c r="T255" s="258" t="s">
        <v>1962</v>
      </c>
      <c r="U255" s="240">
        <v>42663</v>
      </c>
    </row>
    <row r="256" spans="1:21" s="283" customFormat="1" ht="27" customHeight="1" hidden="1" outlineLevel="1">
      <c r="A256" s="274">
        <f>IF(B256&lt;&gt;"",SUBTOTAL(103,$D$7:$D256),"")</f>
      </c>
      <c r="B256" s="220"/>
      <c r="C256" s="221"/>
      <c r="D256" s="47"/>
      <c r="E256" s="42"/>
      <c r="F256" s="42"/>
      <c r="G256" s="42"/>
      <c r="H256" s="42"/>
      <c r="I256" s="42"/>
      <c r="J256" s="45"/>
      <c r="K256" s="128"/>
      <c r="L256" s="45">
        <v>42370</v>
      </c>
      <c r="M256" s="45">
        <v>42461</v>
      </c>
      <c r="N256" s="128">
        <f>DATEDIF(L256,M256,"m")+1</f>
        <v>4</v>
      </c>
      <c r="O256" s="137">
        <v>1150000</v>
      </c>
      <c r="P256" s="129"/>
      <c r="Q256" s="129">
        <f>N256*O256*1.5</f>
        <v>6900000</v>
      </c>
      <c r="R256" s="129"/>
      <c r="S256" s="129"/>
      <c r="T256" s="255"/>
      <c r="U256" s="222"/>
    </row>
    <row r="257" spans="1:21" s="283" customFormat="1" ht="27" customHeight="1" hidden="1" outlineLevel="1">
      <c r="A257" s="274">
        <f>IF(B257&lt;&gt;"",SUBTOTAL(103,$D$7:$D257),"")</f>
      </c>
      <c r="B257" s="220"/>
      <c r="C257" s="221"/>
      <c r="D257" s="47"/>
      <c r="E257" s="42"/>
      <c r="F257" s="42"/>
      <c r="G257" s="42"/>
      <c r="H257" s="42"/>
      <c r="I257" s="42"/>
      <c r="J257" s="45"/>
      <c r="K257" s="128"/>
      <c r="L257" s="45">
        <v>42491</v>
      </c>
      <c r="M257" s="45">
        <v>42644</v>
      </c>
      <c r="N257" s="128">
        <f>DATEDIF(L257,M257,"m")+1</f>
        <v>6</v>
      </c>
      <c r="O257" s="137">
        <v>1210000</v>
      </c>
      <c r="P257" s="129"/>
      <c r="Q257" s="129">
        <f>N257*O257*1.5</f>
        <v>10890000</v>
      </c>
      <c r="R257" s="129"/>
      <c r="S257" s="129"/>
      <c r="T257" s="255"/>
      <c r="U257" s="222"/>
    </row>
    <row r="258" spans="1:21" s="273" customFormat="1" ht="27" customHeight="1" collapsed="1">
      <c r="A258" s="274">
        <f>IF(B258&lt;&gt;"",SUBTOTAL(103,$D$7:$D258),"")</f>
      </c>
      <c r="B258" s="213"/>
      <c r="C258" s="214" t="s">
        <v>640</v>
      </c>
      <c r="D258" s="218"/>
      <c r="E258" s="7"/>
      <c r="F258" s="7"/>
      <c r="G258" s="7"/>
      <c r="H258" s="7"/>
      <c r="I258" s="7"/>
      <c r="J258" s="21"/>
      <c r="K258" s="20"/>
      <c r="L258" s="21"/>
      <c r="M258" s="21"/>
      <c r="N258" s="22"/>
      <c r="O258" s="11"/>
      <c r="P258" s="12">
        <f>SUBTOTAL(109,P259:P267)</f>
        <v>317500500</v>
      </c>
      <c r="Q258" s="12">
        <f>SUBTOTAL(109,Q259:Q267)</f>
        <v>93469000</v>
      </c>
      <c r="R258" s="12">
        <f>SUBTOTAL(109,R259:R267)</f>
        <v>97531500</v>
      </c>
      <c r="S258" s="12">
        <f>SUBTOTAL(109,S259:S267)</f>
        <v>126500000</v>
      </c>
      <c r="T258" s="262"/>
      <c r="U258" s="216"/>
    </row>
    <row r="259" spans="1:21" s="204" customFormat="1" ht="27" customHeight="1" collapsed="1">
      <c r="A259" s="274">
        <f>IF(B259&lt;&gt;"",SUBTOTAL(103,$D$7:$D259),"")</f>
        <v>128</v>
      </c>
      <c r="B259" s="220">
        <f>IF(C259&lt;&gt;"",SUBTOTAL(103,$C$259:$C259),"")</f>
        <v>1</v>
      </c>
      <c r="C259" s="221" t="s">
        <v>641</v>
      </c>
      <c r="D259" s="47" t="s">
        <v>1245</v>
      </c>
      <c r="E259" s="42" t="s">
        <v>661</v>
      </c>
      <c r="F259" s="42" t="s">
        <v>662</v>
      </c>
      <c r="G259" s="42" t="s">
        <v>341</v>
      </c>
      <c r="H259" s="42" t="s">
        <v>642</v>
      </c>
      <c r="I259" s="42" t="s">
        <v>1046</v>
      </c>
      <c r="J259" s="45">
        <v>39753</v>
      </c>
      <c r="K259" s="128">
        <v>30</v>
      </c>
      <c r="L259" s="364" t="s">
        <v>46</v>
      </c>
      <c r="M259" s="364"/>
      <c r="N259" s="101">
        <v>0</v>
      </c>
      <c r="O259" s="277">
        <v>1150000</v>
      </c>
      <c r="P259" s="137">
        <f aca="true" t="shared" si="13" ref="P259:P267">Q259+R259+S259</f>
        <v>92000000</v>
      </c>
      <c r="Q259" s="137">
        <v>0</v>
      </c>
      <c r="R259" s="137">
        <v>0</v>
      </c>
      <c r="S259" s="137">
        <f>O259*80</f>
        <v>92000000</v>
      </c>
      <c r="T259" s="255" t="s">
        <v>2041</v>
      </c>
      <c r="U259" s="222"/>
    </row>
    <row r="260" spans="1:21" s="204" customFormat="1" ht="27" customHeight="1">
      <c r="A260" s="274">
        <f>IF(B260&lt;&gt;"",SUBTOTAL(103,$D$7:$D260),"")</f>
        <v>129</v>
      </c>
      <c r="B260" s="220">
        <f>IF(C260&lt;&gt;"",SUBTOTAL(103,$C$259:$C260),"")</f>
        <v>2</v>
      </c>
      <c r="C260" s="221" t="s">
        <v>1487</v>
      </c>
      <c r="D260" s="47" t="s">
        <v>1488</v>
      </c>
      <c r="E260" s="42" t="s">
        <v>1489</v>
      </c>
      <c r="F260" s="42" t="s">
        <v>1494</v>
      </c>
      <c r="G260" s="42" t="s">
        <v>346</v>
      </c>
      <c r="H260" s="42" t="s">
        <v>1490</v>
      </c>
      <c r="I260" s="42" t="s">
        <v>1491</v>
      </c>
      <c r="J260" s="45">
        <v>41791</v>
      </c>
      <c r="K260" s="128">
        <v>0</v>
      </c>
      <c r="L260" s="45">
        <v>41791</v>
      </c>
      <c r="M260" s="45">
        <v>42552</v>
      </c>
      <c r="N260" s="128">
        <f>DATEDIF(L260,M260,"m")+1</f>
        <v>26</v>
      </c>
      <c r="O260" s="277">
        <f>22265*100</f>
        <v>2226500</v>
      </c>
      <c r="P260" s="137">
        <f t="shared" si="13"/>
        <v>57889000</v>
      </c>
      <c r="Q260" s="137">
        <f>O260*N260</f>
        <v>57889000</v>
      </c>
      <c r="R260" s="137">
        <v>0</v>
      </c>
      <c r="S260" s="137">
        <v>0</v>
      </c>
      <c r="T260" s="255" t="s">
        <v>2042</v>
      </c>
      <c r="U260" s="240">
        <v>42646</v>
      </c>
    </row>
    <row r="261" spans="1:21" s="204" customFormat="1" ht="27" customHeight="1">
      <c r="A261" s="274">
        <f>IF(B261&lt;&gt;"",SUBTOTAL(103,$D$7:$D261),"")</f>
        <v>130</v>
      </c>
      <c r="B261" s="220">
        <f>IF(C261&lt;&gt;"",SUBTOTAL(103,$C$259:$C261),"")</f>
        <v>3</v>
      </c>
      <c r="C261" s="221" t="s">
        <v>419</v>
      </c>
      <c r="D261" s="47" t="s">
        <v>420</v>
      </c>
      <c r="E261" s="42" t="s">
        <v>421</v>
      </c>
      <c r="F261" s="42" t="s">
        <v>422</v>
      </c>
      <c r="G261" s="42" t="s">
        <v>346</v>
      </c>
      <c r="H261" s="42" t="s">
        <v>455</v>
      </c>
      <c r="I261" s="42" t="s">
        <v>319</v>
      </c>
      <c r="J261" s="45">
        <v>41426</v>
      </c>
      <c r="K261" s="128">
        <v>20</v>
      </c>
      <c r="L261" s="362"/>
      <c r="M261" s="363"/>
      <c r="N261" s="101">
        <v>0</v>
      </c>
      <c r="O261" s="277">
        <v>1150000</v>
      </c>
      <c r="P261" s="129">
        <f t="shared" si="13"/>
        <v>20150000</v>
      </c>
      <c r="Q261" s="129">
        <f>N261*O261*1.5</f>
        <v>0</v>
      </c>
      <c r="R261" s="129">
        <f>10850000+7300000+2000000</f>
        <v>20150000</v>
      </c>
      <c r="S261" s="129">
        <v>0</v>
      </c>
      <c r="T261" s="259" t="s">
        <v>1246</v>
      </c>
      <c r="U261" s="222"/>
    </row>
    <row r="262" spans="1:21" s="204" customFormat="1" ht="27" customHeight="1">
      <c r="A262" s="274">
        <f>IF(B262&lt;&gt;"",SUBTOTAL(103,$D$7:$D262),"")</f>
        <v>131</v>
      </c>
      <c r="B262" s="220">
        <f>IF(C262&lt;&gt;"",SUBTOTAL(103,$C$259:$C262),"")</f>
        <v>4</v>
      </c>
      <c r="C262" s="221" t="s">
        <v>231</v>
      </c>
      <c r="D262" s="47" t="s">
        <v>861</v>
      </c>
      <c r="E262" s="42" t="s">
        <v>862</v>
      </c>
      <c r="F262" s="42" t="s">
        <v>863</v>
      </c>
      <c r="G262" s="42" t="s">
        <v>346</v>
      </c>
      <c r="H262" s="42" t="s">
        <v>475</v>
      </c>
      <c r="I262" s="42" t="s">
        <v>864</v>
      </c>
      <c r="J262" s="45">
        <v>41640</v>
      </c>
      <c r="K262" s="127">
        <v>20</v>
      </c>
      <c r="L262" s="362" t="s">
        <v>46</v>
      </c>
      <c r="M262" s="363"/>
      <c r="N262" s="128">
        <v>0</v>
      </c>
      <c r="O262" s="277">
        <v>1150000</v>
      </c>
      <c r="P262" s="137">
        <f t="shared" si="13"/>
        <v>44187500</v>
      </c>
      <c r="Q262" s="129">
        <f>N262*O262*1.5</f>
        <v>0</v>
      </c>
      <c r="R262" s="129">
        <v>9687500</v>
      </c>
      <c r="S262" s="129">
        <f>30*O262</f>
        <v>34500000</v>
      </c>
      <c r="T262" s="256" t="s">
        <v>2043</v>
      </c>
      <c r="U262" s="222"/>
    </row>
    <row r="263" spans="1:21" s="204" customFormat="1" ht="27" customHeight="1">
      <c r="A263" s="274">
        <f>IF(B263&lt;&gt;"",SUBTOTAL(103,$D$7:$D263),"")</f>
        <v>132</v>
      </c>
      <c r="B263" s="220">
        <f>IF(C263&lt;&gt;"",SUBTOTAL(103,$C$259:$C263),"")</f>
        <v>5</v>
      </c>
      <c r="C263" s="245" t="s">
        <v>1072</v>
      </c>
      <c r="D263" s="275" t="s">
        <v>1073</v>
      </c>
      <c r="E263" s="43" t="s">
        <v>1074</v>
      </c>
      <c r="F263" s="43" t="s">
        <v>1075</v>
      </c>
      <c r="G263" s="43" t="s">
        <v>346</v>
      </c>
      <c r="H263" s="43" t="s">
        <v>1076</v>
      </c>
      <c r="I263" s="43" t="s">
        <v>1077</v>
      </c>
      <c r="J263" s="45">
        <v>42005</v>
      </c>
      <c r="K263" s="56">
        <v>12</v>
      </c>
      <c r="L263" s="45">
        <v>42370</v>
      </c>
      <c r="M263" s="45">
        <v>42583</v>
      </c>
      <c r="N263" s="128">
        <f aca="true" t="shared" si="14" ref="N263:N269">DATEDIF(L263,M263,"m")+1</f>
        <v>8</v>
      </c>
      <c r="O263" s="297"/>
      <c r="P263" s="129">
        <f>SUM(Q263:S263)</f>
        <v>34354000</v>
      </c>
      <c r="Q263" s="129">
        <f>SUM(Q264:Q265)</f>
        <v>14160000</v>
      </c>
      <c r="R263" s="129">
        <f>8000000+8000000+4194000</f>
        <v>20194000</v>
      </c>
      <c r="S263" s="129">
        <v>0</v>
      </c>
      <c r="T263" s="256" t="s">
        <v>1529</v>
      </c>
      <c r="U263" s="241">
        <v>42653</v>
      </c>
    </row>
    <row r="264" spans="1:21" s="204" customFormat="1" ht="27" customHeight="1" hidden="1" outlineLevel="1">
      <c r="A264" s="274">
        <f>IF(B264&lt;&gt;"",SUBTOTAL(103,$D$7:$D264),"")</f>
      </c>
      <c r="B264" s="220">
        <f>IF(C264&lt;&gt;"",SUBTOTAL(103,$C$259:$C264),"")</f>
      </c>
      <c r="C264" s="245"/>
      <c r="D264" s="275"/>
      <c r="E264" s="43"/>
      <c r="F264" s="43"/>
      <c r="G264" s="43"/>
      <c r="H264" s="43"/>
      <c r="I264" s="43"/>
      <c r="J264" s="45"/>
      <c r="K264" s="56"/>
      <c r="L264" s="45">
        <v>42370</v>
      </c>
      <c r="M264" s="45">
        <v>42461</v>
      </c>
      <c r="N264" s="128">
        <f t="shared" si="14"/>
        <v>4</v>
      </c>
      <c r="O264" s="129">
        <v>1150000</v>
      </c>
      <c r="P264" s="137">
        <f>Q264+R264+S264</f>
        <v>6900000</v>
      </c>
      <c r="Q264" s="129">
        <f>N264*O264*1.5</f>
        <v>6900000</v>
      </c>
      <c r="R264" s="129"/>
      <c r="S264" s="129"/>
      <c r="T264" s="256"/>
      <c r="U264" s="242"/>
    </row>
    <row r="265" spans="1:21" s="204" customFormat="1" ht="27" customHeight="1" hidden="1" outlineLevel="1">
      <c r="A265" s="274">
        <f>IF(B265&lt;&gt;"",SUBTOTAL(103,$D$7:$D265),"")</f>
      </c>
      <c r="B265" s="220">
        <f>IF(C265&lt;&gt;"",SUBTOTAL(103,$C$259:$C265),"")</f>
      </c>
      <c r="C265" s="245"/>
      <c r="D265" s="275"/>
      <c r="E265" s="43"/>
      <c r="F265" s="43"/>
      <c r="G265" s="43"/>
      <c r="H265" s="43"/>
      <c r="I265" s="43"/>
      <c r="J265" s="45"/>
      <c r="K265" s="56"/>
      <c r="L265" s="45">
        <v>42491</v>
      </c>
      <c r="M265" s="45">
        <v>42583</v>
      </c>
      <c r="N265" s="128">
        <f t="shared" si="14"/>
        <v>4</v>
      </c>
      <c r="O265" s="129">
        <v>1210000</v>
      </c>
      <c r="P265" s="137">
        <f>Q265+R265+S265</f>
        <v>7260000</v>
      </c>
      <c r="Q265" s="129">
        <f>N265*O265*1.5</f>
        <v>7260000</v>
      </c>
      <c r="R265" s="129"/>
      <c r="S265" s="129"/>
      <c r="T265" s="256"/>
      <c r="U265" s="242"/>
    </row>
    <row r="266" spans="1:21" s="204" customFormat="1" ht="27" customHeight="1" collapsed="1">
      <c r="A266" s="274">
        <f>IF(B266&lt;&gt;"",SUBTOTAL(103,$D$7:$D266),"")</f>
        <v>133</v>
      </c>
      <c r="B266" s="220">
        <f>IF(C266&lt;&gt;"",SUBTOTAL(103,$C$259:$C266),"")</f>
        <v>6</v>
      </c>
      <c r="C266" s="245" t="s">
        <v>1756</v>
      </c>
      <c r="D266" s="275" t="s">
        <v>1757</v>
      </c>
      <c r="E266" s="43" t="s">
        <v>1758</v>
      </c>
      <c r="F266" s="43" t="s">
        <v>1759</v>
      </c>
      <c r="G266" s="43" t="s">
        <v>346</v>
      </c>
      <c r="H266" s="43" t="s">
        <v>2167</v>
      </c>
      <c r="I266" s="43" t="s">
        <v>1760</v>
      </c>
      <c r="J266" s="45">
        <v>42522</v>
      </c>
      <c r="K266" s="56">
        <v>0</v>
      </c>
      <c r="L266" s="45">
        <v>42522</v>
      </c>
      <c r="M266" s="45">
        <v>42705</v>
      </c>
      <c r="N266" s="128">
        <f t="shared" si="14"/>
        <v>7</v>
      </c>
      <c r="O266" s="129">
        <v>1210000</v>
      </c>
      <c r="P266" s="129">
        <f>SUM(Q266:S266)</f>
        <v>60205000</v>
      </c>
      <c r="Q266" s="129">
        <f>N266*O266*1.5</f>
        <v>12705000</v>
      </c>
      <c r="R266" s="129">
        <v>47500000</v>
      </c>
      <c r="S266" s="129">
        <v>0</v>
      </c>
      <c r="T266" s="256" t="s">
        <v>1761</v>
      </c>
      <c r="U266" s="241">
        <v>42661</v>
      </c>
    </row>
    <row r="267" spans="1:21" s="283" customFormat="1" ht="27" customHeight="1">
      <c r="A267" s="274">
        <f>IF(B267&lt;&gt;"",SUBTOTAL(103,$D$7:$D267),"")</f>
        <v>134</v>
      </c>
      <c r="B267" s="220">
        <f>IF(C267&lt;&gt;"",SUBTOTAL(103,$C$259:$C267),"")</f>
        <v>7</v>
      </c>
      <c r="C267" s="245" t="s">
        <v>587</v>
      </c>
      <c r="D267" s="275" t="s">
        <v>588</v>
      </c>
      <c r="E267" s="43" t="s">
        <v>589</v>
      </c>
      <c r="F267" s="43" t="s">
        <v>590</v>
      </c>
      <c r="G267" s="43" t="s">
        <v>341</v>
      </c>
      <c r="H267" s="43" t="s">
        <v>330</v>
      </c>
      <c r="I267" s="43" t="s">
        <v>591</v>
      </c>
      <c r="J267" s="45">
        <v>41609</v>
      </c>
      <c r="K267" s="56">
        <v>25</v>
      </c>
      <c r="L267" s="45">
        <v>42370</v>
      </c>
      <c r="M267" s="45">
        <v>42491</v>
      </c>
      <c r="N267" s="128">
        <f t="shared" si="14"/>
        <v>5</v>
      </c>
      <c r="O267" s="129"/>
      <c r="P267" s="129">
        <f t="shared" si="13"/>
        <v>8715000</v>
      </c>
      <c r="Q267" s="129">
        <f>SUM(Q268:Q269)</f>
        <v>8715000</v>
      </c>
      <c r="R267" s="129">
        <v>0</v>
      </c>
      <c r="S267" s="129">
        <v>0</v>
      </c>
      <c r="T267" s="258" t="s">
        <v>1962</v>
      </c>
      <c r="U267" s="241">
        <v>42663</v>
      </c>
    </row>
    <row r="268" spans="1:21" s="283" customFormat="1" ht="27" customHeight="1" hidden="1" outlineLevel="1">
      <c r="A268" s="274">
        <f>IF(B268&lt;&gt;"",SUBTOTAL(103,$D$7:$D268),"")</f>
      </c>
      <c r="B268" s="220">
        <f>IF(C268&lt;&gt;"",SUBTOTAL(103,$C$259:$C268),"")</f>
      </c>
      <c r="C268" s="245"/>
      <c r="D268" s="275"/>
      <c r="E268" s="43"/>
      <c r="F268" s="43"/>
      <c r="G268" s="43"/>
      <c r="H268" s="43"/>
      <c r="I268" s="43"/>
      <c r="J268" s="45"/>
      <c r="K268" s="56"/>
      <c r="L268" s="45">
        <v>42370</v>
      </c>
      <c r="M268" s="45">
        <v>42461</v>
      </c>
      <c r="N268" s="128">
        <f t="shared" si="14"/>
        <v>4</v>
      </c>
      <c r="O268" s="137">
        <v>1150000</v>
      </c>
      <c r="P268" s="129"/>
      <c r="Q268" s="129">
        <f>N268*O268*1.5</f>
        <v>6900000</v>
      </c>
      <c r="R268" s="129"/>
      <c r="S268" s="129"/>
      <c r="T268" s="255"/>
      <c r="U268" s="242"/>
    </row>
    <row r="269" spans="1:21" s="283" customFormat="1" ht="27" customHeight="1" hidden="1" outlineLevel="1">
      <c r="A269" s="274">
        <f>IF(B269&lt;&gt;"",SUBTOTAL(103,$D$7:$D269),"")</f>
      </c>
      <c r="B269" s="220">
        <f>IF(C269&lt;&gt;"",SUBTOTAL(103,$C$259:$C269),"")</f>
      </c>
      <c r="C269" s="245"/>
      <c r="D269" s="275"/>
      <c r="E269" s="43"/>
      <c r="F269" s="43"/>
      <c r="G269" s="43"/>
      <c r="H269" s="43"/>
      <c r="I269" s="43"/>
      <c r="J269" s="45"/>
      <c r="K269" s="56"/>
      <c r="L269" s="45">
        <v>42491</v>
      </c>
      <c r="M269" s="45">
        <v>42491</v>
      </c>
      <c r="N269" s="128">
        <f t="shared" si="14"/>
        <v>1</v>
      </c>
      <c r="O269" s="137">
        <v>1210000</v>
      </c>
      <c r="P269" s="129"/>
      <c r="Q269" s="129">
        <f>N269*O269*1.5</f>
        <v>1815000</v>
      </c>
      <c r="R269" s="129"/>
      <c r="S269" s="129"/>
      <c r="T269" s="255"/>
      <c r="U269" s="242"/>
    </row>
    <row r="270" spans="1:21" s="273" customFormat="1" ht="27" customHeight="1" collapsed="1">
      <c r="A270" s="274">
        <f>IF(B270&lt;&gt;"",SUBTOTAL(103,$D$7:$D270),"")</f>
      </c>
      <c r="B270" s="213"/>
      <c r="C270" s="214" t="s">
        <v>205</v>
      </c>
      <c r="D270" s="218"/>
      <c r="E270" s="7"/>
      <c r="F270" s="7"/>
      <c r="G270" s="7"/>
      <c r="H270" s="7"/>
      <c r="I270" s="7"/>
      <c r="J270" s="136"/>
      <c r="K270" s="20"/>
      <c r="L270" s="21"/>
      <c r="M270" s="21"/>
      <c r="N270" s="22"/>
      <c r="O270" s="11"/>
      <c r="P270" s="12">
        <f>SUBTOTAL(109,P271:P280)</f>
        <v>183513000</v>
      </c>
      <c r="Q270" s="12">
        <f>SUBTOTAL(109,Q271:Q280)</f>
        <v>27960000</v>
      </c>
      <c r="R270" s="12">
        <f>SUBTOTAL(109,R271:R280)</f>
        <v>27253000</v>
      </c>
      <c r="S270" s="12">
        <f>SUBTOTAL(109,S271:S280)</f>
        <v>128300000</v>
      </c>
      <c r="T270" s="316" t="s">
        <v>2179</v>
      </c>
      <c r="U270" s="12">
        <f>+P270-13050000</f>
        <v>170463000</v>
      </c>
    </row>
    <row r="271" spans="1:21" s="204" customFormat="1" ht="27" customHeight="1">
      <c r="A271" s="274">
        <f>IF(B271&lt;&gt;"",SUBTOTAL(103,$D$7:$D271),"")</f>
        <v>135</v>
      </c>
      <c r="B271" s="220">
        <f>IF(C271&lt;&gt;"",SUBTOTAL(103,$C$271:$C271),"")</f>
        <v>1</v>
      </c>
      <c r="C271" s="221" t="s">
        <v>690</v>
      </c>
      <c r="D271" s="47" t="s">
        <v>691</v>
      </c>
      <c r="E271" s="42" t="s">
        <v>692</v>
      </c>
      <c r="F271" s="42" t="s">
        <v>693</v>
      </c>
      <c r="G271" s="42" t="s">
        <v>341</v>
      </c>
      <c r="H271" s="42" t="s">
        <v>694</v>
      </c>
      <c r="I271" s="42" t="s">
        <v>695</v>
      </c>
      <c r="J271" s="45">
        <v>40817</v>
      </c>
      <c r="K271" s="128">
        <v>30</v>
      </c>
      <c r="L271" s="365" t="s">
        <v>46</v>
      </c>
      <c r="M271" s="366"/>
      <c r="N271" s="101">
        <v>0</v>
      </c>
      <c r="O271" s="129">
        <v>1150000</v>
      </c>
      <c r="P271" s="129">
        <f>Q271+R271+S271</f>
        <v>104100000</v>
      </c>
      <c r="Q271" s="129">
        <f>N271*O271*1.5</f>
        <v>0</v>
      </c>
      <c r="R271" s="129">
        <f>12100000</f>
        <v>12100000</v>
      </c>
      <c r="S271" s="129">
        <f>80*O271</f>
        <v>92000000</v>
      </c>
      <c r="T271" s="264" t="s">
        <v>2044</v>
      </c>
      <c r="U271" s="222"/>
    </row>
    <row r="272" spans="1:21" s="204" customFormat="1" ht="27" customHeight="1">
      <c r="A272" s="274">
        <f>IF(B272&lt;&gt;"",SUBTOTAL(103,$D$7:$D272),"")</f>
        <v>136</v>
      </c>
      <c r="B272" s="220">
        <f>IF(C272&lt;&gt;"",SUBTOTAL(103,$C$271:$C272),"")</f>
        <v>2</v>
      </c>
      <c r="C272" s="221" t="s">
        <v>141</v>
      </c>
      <c r="D272" s="47" t="s">
        <v>851</v>
      </c>
      <c r="E272" s="42" t="s">
        <v>142</v>
      </c>
      <c r="F272" s="42" t="s">
        <v>143</v>
      </c>
      <c r="G272" s="42" t="s">
        <v>346</v>
      </c>
      <c r="H272" s="42" t="s">
        <v>265</v>
      </c>
      <c r="I272" s="42" t="s">
        <v>724</v>
      </c>
      <c r="J272" s="45">
        <v>41913</v>
      </c>
      <c r="K272" s="128">
        <v>15</v>
      </c>
      <c r="L272" s="45">
        <v>42370</v>
      </c>
      <c r="M272" s="45">
        <v>42491</v>
      </c>
      <c r="N272" s="128">
        <f aca="true" t="shared" si="15" ref="N272:N277">DATEDIF(L272,M272,"m")+1</f>
        <v>5</v>
      </c>
      <c r="O272" s="129"/>
      <c r="P272" s="129">
        <f>Q272+R272+S272</f>
        <v>15618000</v>
      </c>
      <c r="Q272" s="129">
        <f>SUM(Q273,Q274)</f>
        <v>8715000</v>
      </c>
      <c r="R272" s="137">
        <v>6903000</v>
      </c>
      <c r="S272" s="137">
        <v>0</v>
      </c>
      <c r="T272" s="264" t="s">
        <v>1242</v>
      </c>
      <c r="U272" s="222"/>
    </row>
    <row r="273" spans="1:21" s="204" customFormat="1" ht="27" customHeight="1" hidden="1" outlineLevel="1">
      <c r="A273" s="274">
        <f>IF(B273&lt;&gt;"",SUBTOTAL(103,$D$7:$D273),"")</f>
      </c>
      <c r="B273" s="220">
        <f>IF(C273&lt;&gt;"",SUBTOTAL(103,$C$271:$C273),"")</f>
      </c>
      <c r="C273" s="221"/>
      <c r="D273" s="47"/>
      <c r="E273" s="42"/>
      <c r="F273" s="42"/>
      <c r="G273" s="42"/>
      <c r="H273" s="42"/>
      <c r="I273" s="42"/>
      <c r="J273" s="45"/>
      <c r="K273" s="128"/>
      <c r="L273" s="45">
        <v>42370</v>
      </c>
      <c r="M273" s="45">
        <v>42461</v>
      </c>
      <c r="N273" s="128">
        <f t="shared" si="15"/>
        <v>4</v>
      </c>
      <c r="O273" s="137">
        <v>1150000</v>
      </c>
      <c r="P273" s="129"/>
      <c r="Q273" s="129">
        <f>N273*O273*1.5</f>
        <v>6900000</v>
      </c>
      <c r="R273" s="137"/>
      <c r="S273" s="137"/>
      <c r="T273" s="264"/>
      <c r="U273" s="222"/>
    </row>
    <row r="274" spans="1:21" s="204" customFormat="1" ht="27" customHeight="1" hidden="1" outlineLevel="1">
      <c r="A274" s="274">
        <f>IF(B274&lt;&gt;"",SUBTOTAL(103,$D$7:$D274),"")</f>
      </c>
      <c r="B274" s="220">
        <f>IF(C274&lt;&gt;"",SUBTOTAL(103,$C$271:$C274),"")</f>
      </c>
      <c r="C274" s="221"/>
      <c r="D274" s="47"/>
      <c r="E274" s="42"/>
      <c r="F274" s="42"/>
      <c r="G274" s="42"/>
      <c r="H274" s="42"/>
      <c r="I274" s="42"/>
      <c r="J274" s="45"/>
      <c r="K274" s="128"/>
      <c r="L274" s="45">
        <v>42491</v>
      </c>
      <c r="M274" s="45">
        <v>42521</v>
      </c>
      <c r="N274" s="128">
        <f t="shared" si="15"/>
        <v>1</v>
      </c>
      <c r="O274" s="137">
        <v>1210000</v>
      </c>
      <c r="P274" s="129"/>
      <c r="Q274" s="129">
        <f>N274*O274*1.5</f>
        <v>1815000</v>
      </c>
      <c r="R274" s="137"/>
      <c r="S274" s="137"/>
      <c r="T274" s="264"/>
      <c r="U274" s="222"/>
    </row>
    <row r="275" spans="1:21" s="204" customFormat="1" ht="27" customHeight="1" collapsed="1">
      <c r="A275" s="274">
        <f>IF(B275&lt;&gt;"",SUBTOTAL(103,$D$7:$D275),"")</f>
        <v>137</v>
      </c>
      <c r="B275" s="220">
        <f>IF(C275&lt;&gt;"",SUBTOTAL(103,$C$271:$C275),"")</f>
        <v>3</v>
      </c>
      <c r="C275" s="221" t="s">
        <v>913</v>
      </c>
      <c r="D275" s="47" t="s">
        <v>914</v>
      </c>
      <c r="E275" s="42" t="s">
        <v>915</v>
      </c>
      <c r="F275" s="42" t="s">
        <v>916</v>
      </c>
      <c r="G275" s="42" t="s">
        <v>346</v>
      </c>
      <c r="H275" s="42" t="s">
        <v>21</v>
      </c>
      <c r="I275" s="42" t="s">
        <v>698</v>
      </c>
      <c r="J275" s="45">
        <v>41913</v>
      </c>
      <c r="K275" s="128">
        <v>15</v>
      </c>
      <c r="L275" s="45">
        <v>42370</v>
      </c>
      <c r="M275" s="45">
        <v>42491</v>
      </c>
      <c r="N275" s="128">
        <f t="shared" si="15"/>
        <v>5</v>
      </c>
      <c r="O275" s="129">
        <v>1210000</v>
      </c>
      <c r="P275" s="129">
        <f>Q275+R275+S275</f>
        <v>53265000</v>
      </c>
      <c r="Q275" s="129">
        <f>SUM(Q276:Q277)</f>
        <v>8715000</v>
      </c>
      <c r="R275" s="129">
        <v>8250000</v>
      </c>
      <c r="S275" s="129">
        <f>30*O275</f>
        <v>36300000</v>
      </c>
      <c r="T275" s="264" t="s">
        <v>2045</v>
      </c>
      <c r="U275" s="222"/>
    </row>
    <row r="276" spans="1:21" s="204" customFormat="1" ht="27" customHeight="1" hidden="1" outlineLevel="1">
      <c r="A276" s="274">
        <f>IF(B276&lt;&gt;"",SUBTOTAL(103,$D$7:$D276),"")</f>
      </c>
      <c r="B276" s="220">
        <f>IF(C276&lt;&gt;"",SUBTOTAL(103,$C$271:$C276),"")</f>
      </c>
      <c r="C276" s="221"/>
      <c r="D276" s="47"/>
      <c r="E276" s="42"/>
      <c r="F276" s="42"/>
      <c r="G276" s="42"/>
      <c r="H276" s="42"/>
      <c r="I276" s="42"/>
      <c r="J276" s="45"/>
      <c r="K276" s="128"/>
      <c r="L276" s="45">
        <v>42370</v>
      </c>
      <c r="M276" s="45">
        <v>42461</v>
      </c>
      <c r="N276" s="128">
        <f t="shared" si="15"/>
        <v>4</v>
      </c>
      <c r="O276" s="129">
        <v>1150000</v>
      </c>
      <c r="P276" s="129"/>
      <c r="Q276" s="129">
        <f>N276*O276*1.5</f>
        <v>6900000</v>
      </c>
      <c r="R276" s="129"/>
      <c r="S276" s="129"/>
      <c r="T276" s="264"/>
      <c r="U276" s="222"/>
    </row>
    <row r="277" spans="1:21" s="204" customFormat="1" ht="27" customHeight="1" hidden="1" outlineLevel="1">
      <c r="A277" s="274">
        <f>IF(B277&lt;&gt;"",SUBTOTAL(103,$D$7:$D277),"")</f>
      </c>
      <c r="B277" s="220">
        <f>IF(C277&lt;&gt;"",SUBTOTAL(103,$C$271:$C277),"")</f>
      </c>
      <c r="C277" s="221"/>
      <c r="D277" s="47"/>
      <c r="E277" s="42"/>
      <c r="F277" s="42"/>
      <c r="G277" s="42"/>
      <c r="H277" s="42"/>
      <c r="I277" s="42"/>
      <c r="J277" s="45"/>
      <c r="K277" s="128"/>
      <c r="L277" s="45">
        <v>42491</v>
      </c>
      <c r="M277" s="45">
        <v>42491</v>
      </c>
      <c r="N277" s="128">
        <f t="shared" si="15"/>
        <v>1</v>
      </c>
      <c r="O277" s="129">
        <v>1210000</v>
      </c>
      <c r="P277" s="129"/>
      <c r="Q277" s="129">
        <f>N277*O277*1.5</f>
        <v>1815000</v>
      </c>
      <c r="R277" s="129"/>
      <c r="S277" s="129"/>
      <c r="T277" s="264"/>
      <c r="U277" s="222"/>
    </row>
    <row r="278" spans="1:21" s="276" customFormat="1" ht="27" customHeight="1" collapsed="1">
      <c r="A278" s="274">
        <f>IF(B278&lt;&gt;"",SUBTOTAL(103,$D$7:$D278),"")</f>
        <v>138</v>
      </c>
      <c r="B278" s="220">
        <f>IF(C278&lt;&gt;"",SUBTOTAL(103,$C$271:$C278),"")</f>
        <v>4</v>
      </c>
      <c r="C278" s="221" t="s">
        <v>34</v>
      </c>
      <c r="D278" s="47" t="s">
        <v>35</v>
      </c>
      <c r="E278" s="42" t="s">
        <v>70</v>
      </c>
      <c r="F278" s="42" t="s">
        <v>36</v>
      </c>
      <c r="G278" s="42" t="s">
        <v>346</v>
      </c>
      <c r="H278" s="42" t="s">
        <v>37</v>
      </c>
      <c r="I278" s="42" t="s">
        <v>71</v>
      </c>
      <c r="J278" s="45">
        <v>41944</v>
      </c>
      <c r="K278" s="128">
        <v>14</v>
      </c>
      <c r="L278" s="45">
        <v>42370</v>
      </c>
      <c r="M278" s="45">
        <v>42522</v>
      </c>
      <c r="N278" s="128">
        <f>DATEDIF(L278,M278,"m")+1</f>
        <v>6</v>
      </c>
      <c r="O278" s="129">
        <v>1150000</v>
      </c>
      <c r="P278" s="129">
        <f>Q278+R278+S278</f>
        <v>10530000</v>
      </c>
      <c r="Q278" s="129">
        <f>SUM(Q279:Q280)</f>
        <v>10530000</v>
      </c>
      <c r="R278" s="129">
        <v>0</v>
      </c>
      <c r="S278" s="129">
        <v>0</v>
      </c>
      <c r="T278" s="264" t="s">
        <v>1964</v>
      </c>
      <c r="U278" s="222"/>
    </row>
    <row r="279" spans="1:21" s="276" customFormat="1" ht="27" customHeight="1" hidden="1" outlineLevel="1">
      <c r="A279" s="274">
        <f>IF(B279&lt;&gt;"",SUBTOTAL(103,$D$7:$D279),"")</f>
      </c>
      <c r="B279" s="220"/>
      <c r="C279" s="221"/>
      <c r="D279" s="47"/>
      <c r="E279" s="42"/>
      <c r="F279" s="42"/>
      <c r="G279" s="42"/>
      <c r="H279" s="42"/>
      <c r="I279" s="42"/>
      <c r="J279" s="45"/>
      <c r="K279" s="128"/>
      <c r="L279" s="45">
        <v>42370</v>
      </c>
      <c r="M279" s="45">
        <v>42461</v>
      </c>
      <c r="N279" s="128">
        <f>DATEDIF(L279,M279,"m")+1</f>
        <v>4</v>
      </c>
      <c r="O279" s="129">
        <v>1150000</v>
      </c>
      <c r="P279" s="129"/>
      <c r="Q279" s="129">
        <f>N279*O279*1.5</f>
        <v>6900000</v>
      </c>
      <c r="R279" s="129"/>
      <c r="S279" s="129"/>
      <c r="T279" s="264"/>
      <c r="U279" s="222"/>
    </row>
    <row r="280" spans="1:21" s="276" customFormat="1" ht="27" customHeight="1" hidden="1" outlineLevel="1">
      <c r="A280" s="274">
        <f>IF(B280&lt;&gt;"",SUBTOTAL(103,$D$7:$D280),"")</f>
      </c>
      <c r="B280" s="220"/>
      <c r="C280" s="221"/>
      <c r="D280" s="47"/>
      <c r="E280" s="42"/>
      <c r="F280" s="42"/>
      <c r="G280" s="42"/>
      <c r="H280" s="42"/>
      <c r="I280" s="42"/>
      <c r="J280" s="45"/>
      <c r="K280" s="128"/>
      <c r="L280" s="45">
        <v>42491</v>
      </c>
      <c r="M280" s="45">
        <v>42522</v>
      </c>
      <c r="N280" s="128">
        <f>DATEDIF(L280,M280,"m")+1</f>
        <v>2</v>
      </c>
      <c r="O280" s="129">
        <v>1210000</v>
      </c>
      <c r="P280" s="129"/>
      <c r="Q280" s="129">
        <f>N280*O280*1.5</f>
        <v>3630000</v>
      </c>
      <c r="R280" s="129"/>
      <c r="S280" s="129"/>
      <c r="T280" s="264"/>
      <c r="U280" s="222"/>
    </row>
    <row r="281" spans="1:21" s="273" customFormat="1" ht="27" customHeight="1" collapsed="1">
      <c r="A281" s="274">
        <f>IF(B281&lt;&gt;"",SUBTOTAL(103,$D$7:$D281),"")</f>
      </c>
      <c r="B281" s="213"/>
      <c r="C281" s="214" t="s">
        <v>250</v>
      </c>
      <c r="D281" s="218"/>
      <c r="E281" s="7"/>
      <c r="F281" s="7"/>
      <c r="G281" s="7"/>
      <c r="H281" s="7"/>
      <c r="I281" s="7"/>
      <c r="J281" s="21"/>
      <c r="K281" s="20"/>
      <c r="L281" s="21"/>
      <c r="M281" s="21"/>
      <c r="N281" s="22"/>
      <c r="O281" s="11"/>
      <c r="P281" s="12">
        <f>SUBTOTAL(109,P282:P283)</f>
        <v>68215000</v>
      </c>
      <c r="Q281" s="12">
        <f>SUBTOTAL(109,Q282:Q283)</f>
        <v>8715000</v>
      </c>
      <c r="R281" s="12">
        <f>SUBTOTAL(109,R282:R283)</f>
        <v>25000000</v>
      </c>
      <c r="S281" s="12">
        <f>SUBTOTAL(109,S282:S283)</f>
        <v>34500000</v>
      </c>
      <c r="T281" s="140"/>
      <c r="U281" s="216"/>
    </row>
    <row r="282" spans="1:21" s="204" customFormat="1" ht="27" customHeight="1">
      <c r="A282" s="274">
        <f>IF(B282&lt;&gt;"",SUBTOTAL(103,$D$7:$D282),"")</f>
        <v>139</v>
      </c>
      <c r="B282" s="220">
        <f>IF(C282&lt;&gt;"",SUBTOTAL(103,$C$282:$C282),"")</f>
        <v>1</v>
      </c>
      <c r="C282" s="221" t="s">
        <v>634</v>
      </c>
      <c r="D282" s="47" t="s">
        <v>635</v>
      </c>
      <c r="E282" s="42" t="s">
        <v>2150</v>
      </c>
      <c r="F282" s="42" t="s">
        <v>638</v>
      </c>
      <c r="G282" s="42" t="s">
        <v>346</v>
      </c>
      <c r="H282" s="42" t="s">
        <v>636</v>
      </c>
      <c r="I282" s="42" t="s">
        <v>637</v>
      </c>
      <c r="J282" s="45">
        <v>41153</v>
      </c>
      <c r="K282" s="128">
        <v>20</v>
      </c>
      <c r="L282" s="362" t="s">
        <v>46</v>
      </c>
      <c r="M282" s="363"/>
      <c r="N282" s="101">
        <v>0</v>
      </c>
      <c r="O282" s="129">
        <v>1150000</v>
      </c>
      <c r="P282" s="129">
        <f>Q282+R282+S282</f>
        <v>42000000</v>
      </c>
      <c r="Q282" s="129">
        <v>0</v>
      </c>
      <c r="R282" s="129">
        <v>7500000</v>
      </c>
      <c r="S282" s="129">
        <f>30*O282</f>
        <v>34500000</v>
      </c>
      <c r="T282" s="259" t="s">
        <v>2046</v>
      </c>
      <c r="U282" s="222"/>
    </row>
    <row r="283" spans="1:21" s="204" customFormat="1" ht="27" customHeight="1">
      <c r="A283" s="274">
        <f>IF(B283&lt;&gt;"",SUBTOTAL(103,$D$7:$D283),"")</f>
        <v>140</v>
      </c>
      <c r="B283" s="220">
        <f>IF(C283&lt;&gt;"",SUBTOTAL(103,$C$282:$C283),"")</f>
        <v>2</v>
      </c>
      <c r="C283" s="221" t="s">
        <v>1078</v>
      </c>
      <c r="D283" s="47" t="s">
        <v>1079</v>
      </c>
      <c r="E283" s="42" t="s">
        <v>1080</v>
      </c>
      <c r="F283" s="42" t="s">
        <v>1081</v>
      </c>
      <c r="G283" s="42" t="s">
        <v>346</v>
      </c>
      <c r="H283" s="42" t="s">
        <v>1082</v>
      </c>
      <c r="I283" s="42" t="s">
        <v>1083</v>
      </c>
      <c r="J283" s="45">
        <v>41913</v>
      </c>
      <c r="K283" s="128">
        <v>15</v>
      </c>
      <c r="L283" s="45">
        <v>42370</v>
      </c>
      <c r="M283" s="45">
        <v>42491</v>
      </c>
      <c r="N283" s="128">
        <f>DATEDIF(L283,M283,"m")+1</f>
        <v>5</v>
      </c>
      <c r="O283" s="129"/>
      <c r="P283" s="129">
        <f>Q283+R283+S283</f>
        <v>26215000</v>
      </c>
      <c r="Q283" s="129">
        <f>SUM(Q284,Q285)</f>
        <v>8715000</v>
      </c>
      <c r="R283" s="129">
        <f>8750000*2</f>
        <v>17500000</v>
      </c>
      <c r="S283" s="129">
        <v>0</v>
      </c>
      <c r="T283" s="259" t="s">
        <v>1252</v>
      </c>
      <c r="U283" s="222"/>
    </row>
    <row r="284" spans="1:21" s="204" customFormat="1" ht="27" customHeight="1" hidden="1" outlineLevel="1">
      <c r="A284" s="274">
        <f>IF(B284&lt;&gt;"",SUBTOTAL(103,$D$7:$D284),"")</f>
      </c>
      <c r="B284" s="220"/>
      <c r="C284" s="221"/>
      <c r="D284" s="47"/>
      <c r="E284" s="42"/>
      <c r="F284" s="42"/>
      <c r="G284" s="42"/>
      <c r="H284" s="42"/>
      <c r="I284" s="42"/>
      <c r="J284" s="45"/>
      <c r="K284" s="128"/>
      <c r="L284" s="45">
        <v>42370</v>
      </c>
      <c r="M284" s="45">
        <v>42461</v>
      </c>
      <c r="N284" s="128">
        <f>DATEDIF(L284,M284,"m")+1</f>
        <v>4</v>
      </c>
      <c r="O284" s="137">
        <v>1150000</v>
      </c>
      <c r="P284" s="129"/>
      <c r="Q284" s="129">
        <f>N284*O284*1.5</f>
        <v>6900000</v>
      </c>
      <c r="R284" s="129"/>
      <c r="S284" s="129"/>
      <c r="T284" s="259"/>
      <c r="U284" s="222"/>
    </row>
    <row r="285" spans="1:21" s="204" customFormat="1" ht="27" customHeight="1" hidden="1" outlineLevel="1">
      <c r="A285" s="274">
        <f>IF(B285&lt;&gt;"",SUBTOTAL(103,$D$7:$D285),"")</f>
      </c>
      <c r="B285" s="220"/>
      <c r="C285" s="221"/>
      <c r="D285" s="47"/>
      <c r="E285" s="42"/>
      <c r="F285" s="42"/>
      <c r="G285" s="42"/>
      <c r="H285" s="42"/>
      <c r="I285" s="42"/>
      <c r="J285" s="45"/>
      <c r="K285" s="128"/>
      <c r="L285" s="45">
        <v>42491</v>
      </c>
      <c r="M285" s="45">
        <v>42521</v>
      </c>
      <c r="N285" s="128">
        <f>DATEDIF(L285,M285,"m")+1</f>
        <v>1</v>
      </c>
      <c r="O285" s="137">
        <v>1210000</v>
      </c>
      <c r="P285" s="129"/>
      <c r="Q285" s="129">
        <f>N285*O285*1.5</f>
        <v>1815000</v>
      </c>
      <c r="R285" s="129"/>
      <c r="S285" s="129"/>
      <c r="T285" s="259"/>
      <c r="U285" s="222"/>
    </row>
    <row r="286" spans="1:21" s="273" customFormat="1" ht="27" customHeight="1" collapsed="1">
      <c r="A286" s="274">
        <f>IF(B286&lt;&gt;"",SUBTOTAL(103,$D$7:$D286),"")</f>
      </c>
      <c r="B286" s="213"/>
      <c r="C286" s="214" t="s">
        <v>1084</v>
      </c>
      <c r="D286" s="218"/>
      <c r="E286" s="7"/>
      <c r="F286" s="7"/>
      <c r="G286" s="7"/>
      <c r="H286" s="7"/>
      <c r="I286" s="7"/>
      <c r="J286" s="136"/>
      <c r="K286" s="20"/>
      <c r="L286" s="21"/>
      <c r="M286" s="21"/>
      <c r="N286" s="22"/>
      <c r="O286" s="11"/>
      <c r="P286" s="12">
        <f>P287</f>
        <v>10530000</v>
      </c>
      <c r="Q286" s="12">
        <f>Q287</f>
        <v>10530000</v>
      </c>
      <c r="R286" s="12">
        <f>R287</f>
        <v>0</v>
      </c>
      <c r="S286" s="12">
        <f>S287</f>
        <v>0</v>
      </c>
      <c r="T286" s="12"/>
      <c r="U286" s="216"/>
    </row>
    <row r="287" spans="1:21" s="276" customFormat="1" ht="27" customHeight="1">
      <c r="A287" s="274">
        <f>IF(B287&lt;&gt;"",SUBTOTAL(103,$D$7:$D287),"")</f>
        <v>141</v>
      </c>
      <c r="B287" s="220">
        <v>1</v>
      </c>
      <c r="C287" s="221" t="s">
        <v>1085</v>
      </c>
      <c r="D287" s="47" t="s">
        <v>1086</v>
      </c>
      <c r="E287" s="42" t="s">
        <v>485</v>
      </c>
      <c r="F287" s="42" t="s">
        <v>486</v>
      </c>
      <c r="G287" s="42" t="s">
        <v>341</v>
      </c>
      <c r="H287" s="42" t="s">
        <v>487</v>
      </c>
      <c r="I287" s="42" t="s">
        <v>1038</v>
      </c>
      <c r="J287" s="45">
        <v>41640</v>
      </c>
      <c r="K287" s="127">
        <v>20</v>
      </c>
      <c r="L287" s="45">
        <v>42370</v>
      </c>
      <c r="M287" s="45">
        <v>42522</v>
      </c>
      <c r="N287" s="128">
        <f>DATEDIF(L287,M287,"m")+1</f>
        <v>6</v>
      </c>
      <c r="O287" s="129">
        <v>1150000</v>
      </c>
      <c r="P287" s="129">
        <f>Q287+R287+S287</f>
        <v>10530000</v>
      </c>
      <c r="Q287" s="129">
        <f>SUM(Q288:Q289)</f>
        <v>10530000</v>
      </c>
      <c r="R287" s="129">
        <v>0</v>
      </c>
      <c r="S287" s="129">
        <v>0</v>
      </c>
      <c r="T287" s="258" t="s">
        <v>1964</v>
      </c>
      <c r="U287" s="240">
        <v>42663</v>
      </c>
    </row>
    <row r="288" spans="1:21" s="276" customFormat="1" ht="27" customHeight="1" hidden="1" outlineLevel="1">
      <c r="A288" s="274">
        <f>IF(B288&lt;&gt;"",SUBTOTAL(103,$D$7:$D288),"")</f>
      </c>
      <c r="B288" s="220"/>
      <c r="C288" s="221"/>
      <c r="D288" s="47"/>
      <c r="E288" s="42"/>
      <c r="F288" s="42"/>
      <c r="G288" s="42"/>
      <c r="H288" s="42"/>
      <c r="I288" s="42"/>
      <c r="J288" s="45"/>
      <c r="K288" s="127"/>
      <c r="L288" s="45">
        <v>42370</v>
      </c>
      <c r="M288" s="45">
        <v>42461</v>
      </c>
      <c r="N288" s="128">
        <f>DATEDIF(L288,M288,"m")+1</f>
        <v>4</v>
      </c>
      <c r="O288" s="137">
        <v>1150000</v>
      </c>
      <c r="P288" s="129"/>
      <c r="Q288" s="129">
        <f>N288*O288*1.5</f>
        <v>6900000</v>
      </c>
      <c r="R288" s="129"/>
      <c r="S288" s="129"/>
      <c r="T288" s="258"/>
      <c r="U288" s="222"/>
    </row>
    <row r="289" spans="1:21" s="276" customFormat="1" ht="27" customHeight="1" hidden="1" outlineLevel="1">
      <c r="A289" s="274">
        <f>IF(B289&lt;&gt;"",SUBTOTAL(103,$D$7:$D289),"")</f>
      </c>
      <c r="B289" s="220"/>
      <c r="C289" s="221"/>
      <c r="D289" s="47"/>
      <c r="E289" s="42"/>
      <c r="F289" s="42"/>
      <c r="G289" s="42"/>
      <c r="H289" s="42"/>
      <c r="I289" s="42"/>
      <c r="J289" s="45"/>
      <c r="K289" s="127"/>
      <c r="L289" s="45">
        <v>42491</v>
      </c>
      <c r="M289" s="45">
        <v>42522</v>
      </c>
      <c r="N289" s="128">
        <f>DATEDIF(L289,M289,"m")+1</f>
        <v>2</v>
      </c>
      <c r="O289" s="137">
        <v>1210000</v>
      </c>
      <c r="P289" s="129"/>
      <c r="Q289" s="129">
        <f>N289*O289*1.5</f>
        <v>3630000</v>
      </c>
      <c r="R289" s="129"/>
      <c r="S289" s="129"/>
      <c r="T289" s="258"/>
      <c r="U289" s="222"/>
    </row>
    <row r="290" spans="1:21" s="273" customFormat="1" ht="27" customHeight="1" collapsed="1">
      <c r="A290" s="274">
        <f>IF(B290&lt;&gt;"",SUBTOTAL(103,$D$7:$D290),"")</f>
      </c>
      <c r="B290" s="213"/>
      <c r="C290" s="214" t="s">
        <v>208</v>
      </c>
      <c r="D290" s="218"/>
      <c r="E290" s="7"/>
      <c r="F290" s="7"/>
      <c r="G290" s="7"/>
      <c r="H290" s="7"/>
      <c r="I290" s="7"/>
      <c r="J290" s="136"/>
      <c r="K290" s="20"/>
      <c r="L290" s="21"/>
      <c r="M290" s="21"/>
      <c r="N290" s="22"/>
      <c r="O290" s="11"/>
      <c r="P290" s="12">
        <f>SUBTOTAL(109,P291:P299)</f>
        <v>95915000</v>
      </c>
      <c r="Q290" s="12">
        <f>SUBTOTAL(109,Q291:Q299)</f>
        <v>61815000</v>
      </c>
      <c r="R290" s="12">
        <f>SUBTOTAL(109,R291:R299)</f>
        <v>34100000</v>
      </c>
      <c r="S290" s="12">
        <f>SUBTOTAL(109,S291:S299)</f>
        <v>0</v>
      </c>
      <c r="T290" s="12"/>
      <c r="U290" s="216"/>
    </row>
    <row r="291" spans="1:21" s="204" customFormat="1" ht="27" customHeight="1">
      <c r="A291" s="274">
        <f>IF(B291&lt;&gt;"",SUBTOTAL(103,$D$7:$D291),"")</f>
        <v>142</v>
      </c>
      <c r="B291" s="220">
        <f>IF(C291&lt;&gt;"",SUBTOTAL(103,$C$291:$C291),"")</f>
        <v>1</v>
      </c>
      <c r="C291" s="221" t="s">
        <v>219</v>
      </c>
      <c r="D291" s="47" t="s">
        <v>266</v>
      </c>
      <c r="E291" s="42" t="s">
        <v>267</v>
      </c>
      <c r="F291" s="42" t="s">
        <v>268</v>
      </c>
      <c r="G291" s="42" t="s">
        <v>341</v>
      </c>
      <c r="H291" s="42" t="s">
        <v>269</v>
      </c>
      <c r="I291" s="42" t="s">
        <v>270</v>
      </c>
      <c r="J291" s="45">
        <v>41183</v>
      </c>
      <c r="K291" s="128">
        <v>30</v>
      </c>
      <c r="L291" s="362"/>
      <c r="M291" s="363"/>
      <c r="N291" s="128">
        <v>0</v>
      </c>
      <c r="O291" s="129">
        <v>1150000</v>
      </c>
      <c r="P291" s="129">
        <f>Q291+R291+S291</f>
        <v>22000000</v>
      </c>
      <c r="Q291" s="129">
        <f>N291*O291*1.5</f>
        <v>0</v>
      </c>
      <c r="R291" s="129">
        <v>22000000</v>
      </c>
      <c r="S291" s="129">
        <f>SUM(S296:S299)</f>
        <v>0</v>
      </c>
      <c r="T291" s="255" t="s">
        <v>1308</v>
      </c>
      <c r="U291" s="222"/>
    </row>
    <row r="292" spans="1:21" s="204" customFormat="1" ht="27" customHeight="1">
      <c r="A292" s="274">
        <f>IF(B292&lt;&gt;"",SUBTOTAL(103,$D$7:$D292),"")</f>
        <v>143</v>
      </c>
      <c r="B292" s="220">
        <f>IF(C292&lt;&gt;"",SUBTOTAL(103,$C$291:$C292),"")</f>
        <v>2</v>
      </c>
      <c r="C292" s="221" t="s">
        <v>1309</v>
      </c>
      <c r="D292" s="47" t="s">
        <v>1310</v>
      </c>
      <c r="E292" s="42" t="s">
        <v>789</v>
      </c>
      <c r="F292" s="42" t="s">
        <v>1311</v>
      </c>
      <c r="G292" s="42" t="s">
        <v>346</v>
      </c>
      <c r="H292" s="42" t="s">
        <v>1312</v>
      </c>
      <c r="I292" s="42" t="s">
        <v>270</v>
      </c>
      <c r="J292" s="45">
        <v>42278</v>
      </c>
      <c r="K292" s="128">
        <v>0</v>
      </c>
      <c r="L292" s="200">
        <v>42278</v>
      </c>
      <c r="M292" s="201">
        <v>42705</v>
      </c>
      <c r="N292" s="128">
        <f aca="true" t="shared" si="16" ref="N292:N307">DATEDIF(L292,M292,"m")+1</f>
        <v>15</v>
      </c>
      <c r="O292" s="129"/>
      <c r="P292" s="129">
        <f>SUM(Q292:S292)</f>
        <v>38695000</v>
      </c>
      <c r="Q292" s="298">
        <f>SUM(Q293:Q294)</f>
        <v>26595000</v>
      </c>
      <c r="R292" s="129">
        <v>12100000</v>
      </c>
      <c r="S292" s="129">
        <v>0</v>
      </c>
      <c r="T292" s="264" t="s">
        <v>1313</v>
      </c>
      <c r="U292" s="222"/>
    </row>
    <row r="293" spans="1:21" s="204" customFormat="1" ht="27" customHeight="1" hidden="1" outlineLevel="1">
      <c r="A293" s="274">
        <f>IF(B293&lt;&gt;"",SUBTOTAL(103,$D$7:$D293),"")</f>
      </c>
      <c r="B293" s="220">
        <f>IF(C293&lt;&gt;"",SUBTOTAL(103,$C$291:$C293),"")</f>
      </c>
      <c r="C293" s="221"/>
      <c r="D293" s="47"/>
      <c r="E293" s="42"/>
      <c r="F293" s="42"/>
      <c r="G293" s="42"/>
      <c r="H293" s="42"/>
      <c r="I293" s="42"/>
      <c r="J293" s="45"/>
      <c r="K293" s="128"/>
      <c r="L293" s="200">
        <v>42278</v>
      </c>
      <c r="M293" s="201">
        <v>42461</v>
      </c>
      <c r="N293" s="128">
        <f t="shared" si="16"/>
        <v>7</v>
      </c>
      <c r="O293" s="129">
        <v>1150000</v>
      </c>
      <c r="P293" s="129"/>
      <c r="Q293" s="129">
        <f>N293*O293*1.5</f>
        <v>12075000</v>
      </c>
      <c r="R293" s="129"/>
      <c r="S293" s="129"/>
      <c r="T293" s="264"/>
      <c r="U293" s="222"/>
    </row>
    <row r="294" spans="1:21" s="204" customFormat="1" ht="27" customHeight="1" hidden="1" outlineLevel="1">
      <c r="A294" s="274">
        <f>IF(B294&lt;&gt;"",SUBTOTAL(103,$D$7:$D294),"")</f>
      </c>
      <c r="B294" s="220">
        <f>IF(C294&lt;&gt;"",SUBTOTAL(103,$C$291:$C294),"")</f>
      </c>
      <c r="C294" s="221"/>
      <c r="D294" s="47"/>
      <c r="E294" s="42"/>
      <c r="F294" s="42"/>
      <c r="G294" s="42"/>
      <c r="H294" s="42"/>
      <c r="I294" s="42"/>
      <c r="J294" s="45"/>
      <c r="K294" s="128"/>
      <c r="L294" s="200">
        <v>42491</v>
      </c>
      <c r="M294" s="201">
        <v>42705</v>
      </c>
      <c r="N294" s="128">
        <f t="shared" si="16"/>
        <v>8</v>
      </c>
      <c r="O294" s="129">
        <v>1210000</v>
      </c>
      <c r="P294" s="129"/>
      <c r="Q294" s="129">
        <f>N294*O294*1.5</f>
        <v>14520000</v>
      </c>
      <c r="R294" s="129"/>
      <c r="S294" s="129"/>
      <c r="T294" s="264"/>
      <c r="U294" s="222"/>
    </row>
    <row r="295" spans="1:21" s="276" customFormat="1" ht="27" customHeight="1" collapsed="1">
      <c r="A295" s="274">
        <f>IF(B295&lt;&gt;"",SUBTOTAL(103,$D$7:$D295),"")</f>
        <v>144</v>
      </c>
      <c r="B295" s="220">
        <f>IF(C295&lt;&gt;"",SUBTOTAL(103,$C$291:$C295),"")</f>
        <v>3</v>
      </c>
      <c r="C295" s="221" t="s">
        <v>1140</v>
      </c>
      <c r="D295" s="47" t="s">
        <v>1141</v>
      </c>
      <c r="E295" s="42" t="s">
        <v>314</v>
      </c>
      <c r="F295" s="42" t="s">
        <v>1142</v>
      </c>
      <c r="G295" s="42" t="s">
        <v>341</v>
      </c>
      <c r="H295" s="42" t="s">
        <v>1143</v>
      </c>
      <c r="I295" s="42" t="s">
        <v>1144</v>
      </c>
      <c r="J295" s="45">
        <v>41275</v>
      </c>
      <c r="K295" s="128">
        <v>26</v>
      </c>
      <c r="L295" s="45">
        <v>42370</v>
      </c>
      <c r="M295" s="45">
        <v>42461</v>
      </c>
      <c r="N295" s="128">
        <f t="shared" si="16"/>
        <v>4</v>
      </c>
      <c r="O295" s="129">
        <v>1150000</v>
      </c>
      <c r="P295" s="129">
        <f>Q295+R295+S295</f>
        <v>6900000</v>
      </c>
      <c r="Q295" s="129">
        <f>N295*O295*1.5</f>
        <v>6900000</v>
      </c>
      <c r="R295" s="129">
        <v>0</v>
      </c>
      <c r="S295" s="129">
        <v>0</v>
      </c>
      <c r="T295" s="255" t="s">
        <v>1964</v>
      </c>
      <c r="U295" s="240">
        <v>42663</v>
      </c>
    </row>
    <row r="296" spans="1:21" s="276" customFormat="1" ht="27" customHeight="1">
      <c r="A296" s="274">
        <f>IF(B296&lt;&gt;"",SUBTOTAL(103,$D$7:$D296),"")</f>
        <v>145</v>
      </c>
      <c r="B296" s="220">
        <f>IF(C296&lt;&gt;"",SUBTOTAL(103,$C$291:$C296),"")</f>
        <v>4</v>
      </c>
      <c r="C296" s="221" t="s">
        <v>29</v>
      </c>
      <c r="D296" s="47" t="s">
        <v>30</v>
      </c>
      <c r="E296" s="42" t="s">
        <v>557</v>
      </c>
      <c r="F296" s="42" t="s">
        <v>31</v>
      </c>
      <c r="G296" s="42" t="s">
        <v>341</v>
      </c>
      <c r="H296" s="42" t="s">
        <v>32</v>
      </c>
      <c r="I296" s="42" t="s">
        <v>33</v>
      </c>
      <c r="J296" s="45">
        <v>41760</v>
      </c>
      <c r="K296" s="128">
        <v>20</v>
      </c>
      <c r="L296" s="45">
        <v>42370</v>
      </c>
      <c r="M296" s="45">
        <v>42644</v>
      </c>
      <c r="N296" s="128">
        <f t="shared" si="16"/>
        <v>10</v>
      </c>
      <c r="O296" s="129"/>
      <c r="P296" s="129">
        <f>Q296+R296+S296</f>
        <v>17790000</v>
      </c>
      <c r="Q296" s="129">
        <f>SUM(Q297:Q298)</f>
        <v>17790000</v>
      </c>
      <c r="R296" s="129">
        <v>0</v>
      </c>
      <c r="S296" s="129">
        <v>0</v>
      </c>
      <c r="T296" s="255" t="s">
        <v>1964</v>
      </c>
      <c r="U296" s="240">
        <v>42663</v>
      </c>
    </row>
    <row r="297" spans="1:21" s="276" customFormat="1" ht="27" customHeight="1" hidden="1" outlineLevel="1">
      <c r="A297" s="274">
        <f>IF(B297&lt;&gt;"",SUBTOTAL(103,$D$7:$D297),"")</f>
      </c>
      <c r="B297" s="220">
        <f>IF(C297&lt;&gt;"",SUBTOTAL(103,$C$291:$C297),"")</f>
      </c>
      <c r="C297" s="221"/>
      <c r="D297" s="47"/>
      <c r="E297" s="42"/>
      <c r="F297" s="42"/>
      <c r="G297" s="42"/>
      <c r="H297" s="42"/>
      <c r="I297" s="42"/>
      <c r="J297" s="45"/>
      <c r="K297" s="128"/>
      <c r="L297" s="200">
        <v>42370</v>
      </c>
      <c r="M297" s="201">
        <v>42461</v>
      </c>
      <c r="N297" s="128">
        <f>DATEDIF(L297,M297,"m")+1</f>
        <v>4</v>
      </c>
      <c r="O297" s="129">
        <v>1150000</v>
      </c>
      <c r="P297" s="129"/>
      <c r="Q297" s="129">
        <f>N297*O297*1.5</f>
        <v>6900000</v>
      </c>
      <c r="R297" s="129"/>
      <c r="S297" s="129"/>
      <c r="T297" s="264"/>
      <c r="U297" s="240"/>
    </row>
    <row r="298" spans="1:21" s="276" customFormat="1" ht="27" customHeight="1" hidden="1" outlineLevel="1">
      <c r="A298" s="274">
        <f>IF(B298&lt;&gt;"",SUBTOTAL(103,$D$7:$D298),"")</f>
      </c>
      <c r="B298" s="220">
        <f>IF(C298&lt;&gt;"",SUBTOTAL(103,$C$291:$C298),"")</f>
      </c>
      <c r="C298" s="221"/>
      <c r="D298" s="47"/>
      <c r="E298" s="42"/>
      <c r="F298" s="42"/>
      <c r="G298" s="42"/>
      <c r="H298" s="42"/>
      <c r="I298" s="42"/>
      <c r="J298" s="45"/>
      <c r="K298" s="128"/>
      <c r="L298" s="200">
        <v>42491</v>
      </c>
      <c r="M298" s="201">
        <v>42644</v>
      </c>
      <c r="N298" s="128">
        <f>DATEDIF(L298,M298,"m")+1</f>
        <v>6</v>
      </c>
      <c r="O298" s="129">
        <v>1210000</v>
      </c>
      <c r="P298" s="129"/>
      <c r="Q298" s="129">
        <f>N298*O298*1.5</f>
        <v>10890000</v>
      </c>
      <c r="R298" s="129"/>
      <c r="S298" s="129"/>
      <c r="T298" s="264"/>
      <c r="U298" s="240"/>
    </row>
    <row r="299" spans="1:21" s="276" customFormat="1" ht="27" customHeight="1" collapsed="1">
      <c r="A299" s="274">
        <f>IF(B299&lt;&gt;"",SUBTOTAL(103,$D$7:$D299),"")</f>
        <v>146</v>
      </c>
      <c r="B299" s="220">
        <f>IF(C299&lt;&gt;"",SUBTOTAL(103,$C$291:$C299),"")</f>
        <v>5</v>
      </c>
      <c r="C299" s="221" t="s">
        <v>154</v>
      </c>
      <c r="D299" s="47" t="s">
        <v>155</v>
      </c>
      <c r="E299" s="42" t="s">
        <v>549</v>
      </c>
      <c r="F299" s="42" t="s">
        <v>156</v>
      </c>
      <c r="G299" s="42" t="s">
        <v>341</v>
      </c>
      <c r="H299" s="42" t="s">
        <v>157</v>
      </c>
      <c r="I299" s="42" t="s">
        <v>158</v>
      </c>
      <c r="J299" s="45">
        <v>41640</v>
      </c>
      <c r="K299" s="128">
        <v>24</v>
      </c>
      <c r="L299" s="45">
        <v>42370</v>
      </c>
      <c r="M299" s="45">
        <v>42522</v>
      </c>
      <c r="N299" s="128">
        <f t="shared" si="16"/>
        <v>6</v>
      </c>
      <c r="O299" s="129"/>
      <c r="P299" s="129">
        <f>Q299+R299+S299</f>
        <v>10530000</v>
      </c>
      <c r="Q299" s="129">
        <f>SUM(Q300:Q301)</f>
        <v>10530000</v>
      </c>
      <c r="R299" s="129">
        <v>0</v>
      </c>
      <c r="S299" s="129">
        <v>0</v>
      </c>
      <c r="T299" s="255" t="s">
        <v>1964</v>
      </c>
      <c r="U299" s="240">
        <v>42663</v>
      </c>
    </row>
    <row r="300" spans="1:21" s="276" customFormat="1" ht="27" customHeight="1" hidden="1" outlineLevel="1">
      <c r="A300" s="274">
        <f>IF(B300&lt;&gt;"",SUBTOTAL(103,$D$7:$D300),"")</f>
      </c>
      <c r="B300" s="220"/>
      <c r="C300" s="221"/>
      <c r="D300" s="47"/>
      <c r="E300" s="42"/>
      <c r="F300" s="42"/>
      <c r="G300" s="42"/>
      <c r="H300" s="42"/>
      <c r="I300" s="42"/>
      <c r="J300" s="45"/>
      <c r="K300" s="128"/>
      <c r="L300" s="200">
        <v>42370</v>
      </c>
      <c r="M300" s="201">
        <v>42461</v>
      </c>
      <c r="N300" s="128">
        <f t="shared" si="16"/>
        <v>4</v>
      </c>
      <c r="O300" s="129">
        <v>1150000</v>
      </c>
      <c r="P300" s="129"/>
      <c r="Q300" s="129">
        <f>N300*O300*1.5</f>
        <v>6900000</v>
      </c>
      <c r="R300" s="129"/>
      <c r="S300" s="129"/>
      <c r="T300" s="255"/>
      <c r="U300" s="240"/>
    </row>
    <row r="301" spans="1:21" s="276" customFormat="1" ht="27" customHeight="1" hidden="1" outlineLevel="1">
      <c r="A301" s="274">
        <f>IF(B301&lt;&gt;"",SUBTOTAL(103,$D$7:$D301),"")</f>
      </c>
      <c r="B301" s="220"/>
      <c r="C301" s="221"/>
      <c r="D301" s="47"/>
      <c r="E301" s="42"/>
      <c r="F301" s="42"/>
      <c r="G301" s="42"/>
      <c r="H301" s="42"/>
      <c r="I301" s="42"/>
      <c r="J301" s="45"/>
      <c r="K301" s="128"/>
      <c r="L301" s="200">
        <v>42491</v>
      </c>
      <c r="M301" s="201">
        <v>42522</v>
      </c>
      <c r="N301" s="128">
        <f t="shared" si="16"/>
        <v>2</v>
      </c>
      <c r="O301" s="129">
        <v>1210000</v>
      </c>
      <c r="P301" s="129"/>
      <c r="Q301" s="129">
        <f>N301*O301*1.5</f>
        <v>3630000</v>
      </c>
      <c r="R301" s="129"/>
      <c r="S301" s="129"/>
      <c r="T301" s="255"/>
      <c r="U301" s="240"/>
    </row>
    <row r="302" spans="1:21" s="273" customFormat="1" ht="27" customHeight="1" collapsed="1">
      <c r="A302" s="274">
        <f>IF(B302&lt;&gt;"",SUBTOTAL(103,$D$7:$D302),"")</f>
      </c>
      <c r="B302" s="213"/>
      <c r="C302" s="214" t="s">
        <v>207</v>
      </c>
      <c r="D302" s="218"/>
      <c r="E302" s="7"/>
      <c r="F302" s="7"/>
      <c r="G302" s="7"/>
      <c r="H302" s="7"/>
      <c r="I302" s="7"/>
      <c r="J302" s="136"/>
      <c r="K302" s="20"/>
      <c r="L302" s="123"/>
      <c r="M302" s="21"/>
      <c r="N302" s="22"/>
      <c r="O302" s="11"/>
      <c r="P302" s="12">
        <f>SUBTOTAL(109,P303:P324)</f>
        <v>465290000</v>
      </c>
      <c r="Q302" s="12">
        <f>SUBTOTAL(109,Q303:Q324)</f>
        <v>83550000</v>
      </c>
      <c r="R302" s="12">
        <f>SUBTOTAL(109,R303:R324)</f>
        <v>186240000</v>
      </c>
      <c r="S302" s="12">
        <f>SUBTOTAL(109,S303:S324)</f>
        <v>195500000</v>
      </c>
      <c r="T302" s="262"/>
      <c r="U302" s="216"/>
    </row>
    <row r="303" spans="1:21" s="204" customFormat="1" ht="27" customHeight="1">
      <c r="A303" s="274">
        <f>IF(B303&lt;&gt;"",SUBTOTAL(103,$D$7:$D303),"")</f>
        <v>147</v>
      </c>
      <c r="B303" s="220">
        <f>IF(C303&lt;&gt;"",SUBTOTAL(103,$C$303:$C303),"")</f>
        <v>1</v>
      </c>
      <c r="C303" s="221" t="s">
        <v>1492</v>
      </c>
      <c r="D303" s="47" t="s">
        <v>2166</v>
      </c>
      <c r="E303" s="42" t="s">
        <v>789</v>
      </c>
      <c r="F303" s="42" t="s">
        <v>1493</v>
      </c>
      <c r="G303" s="42" t="s">
        <v>341</v>
      </c>
      <c r="H303" s="42" t="s">
        <v>1495</v>
      </c>
      <c r="I303" s="42" t="s">
        <v>1496</v>
      </c>
      <c r="J303" s="45">
        <v>39753</v>
      </c>
      <c r="K303" s="299">
        <v>0</v>
      </c>
      <c r="L303" s="45">
        <v>39753</v>
      </c>
      <c r="M303" s="201">
        <v>40634</v>
      </c>
      <c r="N303" s="128">
        <f t="shared" si="16"/>
        <v>30</v>
      </c>
      <c r="O303" s="129"/>
      <c r="P303" s="129">
        <f>SUM(Q303:S303)</f>
        <v>39560000</v>
      </c>
      <c r="Q303" s="298">
        <f>SUM(Q304:Q305)</f>
        <v>16560000</v>
      </c>
      <c r="R303" s="129">
        <f>23000000</f>
        <v>23000000</v>
      </c>
      <c r="S303" s="129">
        <v>0</v>
      </c>
      <c r="T303" s="264" t="s">
        <v>1497</v>
      </c>
      <c r="U303" s="222"/>
    </row>
    <row r="304" spans="1:21" s="204" customFormat="1" ht="27" customHeight="1" hidden="1" outlineLevel="1">
      <c r="A304" s="274">
        <f>IF(B304&lt;&gt;"",SUBTOTAL(103,$D$7:$D304),"")</f>
      </c>
      <c r="B304" s="220">
        <f>IF(C304&lt;&gt;"",SUBTOTAL(103,$C$303:$C304),"")</f>
      </c>
      <c r="C304" s="221"/>
      <c r="D304" s="47"/>
      <c r="E304" s="42"/>
      <c r="F304" s="42"/>
      <c r="G304" s="42"/>
      <c r="H304" s="42"/>
      <c r="I304" s="42"/>
      <c r="J304" s="45"/>
      <c r="K304" s="128"/>
      <c r="L304" s="45">
        <v>39753</v>
      </c>
      <c r="M304" s="45">
        <v>39904</v>
      </c>
      <c r="N304" s="128">
        <f t="shared" si="16"/>
        <v>6</v>
      </c>
      <c r="O304" s="129">
        <v>540000</v>
      </c>
      <c r="P304" s="129"/>
      <c r="Q304" s="129">
        <f>N304*O304*1.5</f>
        <v>4860000</v>
      </c>
      <c r="R304" s="129"/>
      <c r="S304" s="129"/>
      <c r="T304" s="264"/>
      <c r="U304" s="222"/>
    </row>
    <row r="305" spans="1:21" s="204" customFormat="1" ht="27" customHeight="1" hidden="1" outlineLevel="1">
      <c r="A305" s="274">
        <f>IF(B305&lt;&gt;"",SUBTOTAL(103,$D$7:$D305),"")</f>
      </c>
      <c r="B305" s="220">
        <f>IF(C305&lt;&gt;"",SUBTOTAL(103,$C$303:$C305),"")</f>
      </c>
      <c r="C305" s="221"/>
      <c r="D305" s="47"/>
      <c r="E305" s="42"/>
      <c r="F305" s="42"/>
      <c r="G305" s="42"/>
      <c r="H305" s="42"/>
      <c r="I305" s="42"/>
      <c r="J305" s="45"/>
      <c r="K305" s="128"/>
      <c r="L305" s="45">
        <v>39934</v>
      </c>
      <c r="M305" s="45">
        <v>40269</v>
      </c>
      <c r="N305" s="128">
        <f t="shared" si="16"/>
        <v>12</v>
      </c>
      <c r="O305" s="129">
        <v>650000</v>
      </c>
      <c r="P305" s="129"/>
      <c r="Q305" s="129">
        <f>N305*O305*1.5</f>
        <v>11700000</v>
      </c>
      <c r="R305" s="129"/>
      <c r="S305" s="129"/>
      <c r="T305" s="264"/>
      <c r="U305" s="222"/>
    </row>
    <row r="306" spans="1:21" s="204" customFormat="1" ht="27" customHeight="1" hidden="1" outlineLevel="1">
      <c r="A306" s="274">
        <f>IF(B306&lt;&gt;"",SUBTOTAL(103,$D$7:$D306),"")</f>
      </c>
      <c r="B306" s="220">
        <f>IF(C306&lt;&gt;"",SUBTOTAL(103,$C$303:$C306),"")</f>
      </c>
      <c r="C306" s="221"/>
      <c r="D306" s="47"/>
      <c r="E306" s="42"/>
      <c r="F306" s="42"/>
      <c r="G306" s="42"/>
      <c r="H306" s="42"/>
      <c r="I306" s="42"/>
      <c r="J306" s="45"/>
      <c r="K306" s="128"/>
      <c r="L306" s="45">
        <v>40299</v>
      </c>
      <c r="M306" s="45">
        <v>40634</v>
      </c>
      <c r="N306" s="128">
        <f t="shared" si="16"/>
        <v>12</v>
      </c>
      <c r="O306" s="129">
        <v>730000</v>
      </c>
      <c r="P306" s="129"/>
      <c r="Q306" s="129">
        <f>N306*O306*1.5</f>
        <v>13140000</v>
      </c>
      <c r="R306" s="129"/>
      <c r="S306" s="129"/>
      <c r="T306" s="264"/>
      <c r="U306" s="222"/>
    </row>
    <row r="307" spans="1:21" s="204" customFormat="1" ht="27" customHeight="1" collapsed="1">
      <c r="A307" s="274">
        <f>IF(B307&lt;&gt;"",SUBTOTAL(103,$D$7:$D307),"")</f>
        <v>148</v>
      </c>
      <c r="B307" s="220">
        <f>IF(C307&lt;&gt;"",SUBTOTAL(103,$C$303:$C307),"")</f>
        <v>2</v>
      </c>
      <c r="C307" s="221" t="s">
        <v>1500</v>
      </c>
      <c r="D307" s="47" t="s">
        <v>1501</v>
      </c>
      <c r="E307" s="42" t="s">
        <v>314</v>
      </c>
      <c r="F307" s="42" t="s">
        <v>1502</v>
      </c>
      <c r="G307" s="42" t="s">
        <v>346</v>
      </c>
      <c r="H307" s="42" t="s">
        <v>1165</v>
      </c>
      <c r="I307" s="42" t="s">
        <v>1503</v>
      </c>
      <c r="J307" s="45">
        <v>42401</v>
      </c>
      <c r="K307" s="299">
        <v>0</v>
      </c>
      <c r="L307" s="45">
        <v>42401</v>
      </c>
      <c r="M307" s="201">
        <v>42705</v>
      </c>
      <c r="N307" s="128">
        <f t="shared" si="16"/>
        <v>11</v>
      </c>
      <c r="O307" s="58"/>
      <c r="P307" s="129">
        <f>Q307+R307+S307</f>
        <v>31695000</v>
      </c>
      <c r="Q307" s="129">
        <f>SUM(Q308:Q309)</f>
        <v>19695000</v>
      </c>
      <c r="R307" s="129">
        <f>6000000+6000000</f>
        <v>12000000</v>
      </c>
      <c r="S307" s="137">
        <v>0</v>
      </c>
      <c r="T307" s="264" t="s">
        <v>2047</v>
      </c>
      <c r="U307" s="240">
        <v>42646</v>
      </c>
    </row>
    <row r="308" spans="1:21" s="204" customFormat="1" ht="27" customHeight="1" hidden="1" outlineLevel="1">
      <c r="A308" s="274">
        <f>IF(B308&lt;&gt;"",SUBTOTAL(103,$D$7:$D308),"")</f>
      </c>
      <c r="B308" s="220">
        <f>IF(C308&lt;&gt;"",SUBTOTAL(103,$C$303:$C308),"")</f>
      </c>
      <c r="C308" s="221"/>
      <c r="D308" s="47"/>
      <c r="E308" s="42"/>
      <c r="F308" s="42"/>
      <c r="G308" s="42"/>
      <c r="H308" s="42"/>
      <c r="I308" s="42"/>
      <c r="J308" s="45"/>
      <c r="K308" s="299"/>
      <c r="L308" s="45">
        <v>42401</v>
      </c>
      <c r="M308" s="45">
        <v>42461</v>
      </c>
      <c r="N308" s="128">
        <f>DATEDIF(L308,M308,"m")+1</f>
        <v>3</v>
      </c>
      <c r="O308" s="58">
        <v>1150000</v>
      </c>
      <c r="P308" s="129"/>
      <c r="Q308" s="129">
        <f>O308*N308*1.5</f>
        <v>5175000</v>
      </c>
      <c r="R308" s="129"/>
      <c r="S308" s="137"/>
      <c r="T308" s="264"/>
      <c r="U308" s="240"/>
    </row>
    <row r="309" spans="1:21" s="204" customFormat="1" ht="27" customHeight="1" hidden="1" outlineLevel="1">
      <c r="A309" s="274">
        <f>IF(B309&lt;&gt;"",SUBTOTAL(103,$D$7:$D309),"")</f>
      </c>
      <c r="B309" s="220">
        <f>IF(C309&lt;&gt;"",SUBTOTAL(103,$C$303:$C309),"")</f>
      </c>
      <c r="C309" s="221"/>
      <c r="D309" s="47"/>
      <c r="E309" s="42"/>
      <c r="F309" s="42"/>
      <c r="G309" s="42"/>
      <c r="H309" s="42"/>
      <c r="I309" s="42"/>
      <c r="J309" s="45"/>
      <c r="K309" s="299"/>
      <c r="L309" s="45">
        <v>42491</v>
      </c>
      <c r="M309" s="45">
        <v>42705</v>
      </c>
      <c r="N309" s="128">
        <f>DATEDIF(L309,M309,"m")+1</f>
        <v>8</v>
      </c>
      <c r="O309" s="58">
        <v>1210000</v>
      </c>
      <c r="P309" s="129"/>
      <c r="Q309" s="129">
        <f>O309*N309*1.5</f>
        <v>14520000</v>
      </c>
      <c r="R309" s="129"/>
      <c r="S309" s="137"/>
      <c r="T309" s="264"/>
      <c r="U309" s="222"/>
    </row>
    <row r="310" spans="1:21" s="204" customFormat="1" ht="27" customHeight="1" collapsed="1">
      <c r="A310" s="274">
        <f>IF(B310&lt;&gt;"",SUBTOTAL(103,$D$7:$D310),"")</f>
        <v>149</v>
      </c>
      <c r="B310" s="220">
        <f>IF(C310&lt;&gt;"",SUBTOTAL(103,$C$303:$C310),"")</f>
        <v>3</v>
      </c>
      <c r="C310" s="221" t="s">
        <v>1162</v>
      </c>
      <c r="D310" s="47" t="s">
        <v>1163</v>
      </c>
      <c r="E310" s="42" t="s">
        <v>314</v>
      </c>
      <c r="F310" s="42" t="s">
        <v>1164</v>
      </c>
      <c r="G310" s="42" t="s">
        <v>346</v>
      </c>
      <c r="H310" s="42" t="s">
        <v>1165</v>
      </c>
      <c r="I310" s="42" t="s">
        <v>1166</v>
      </c>
      <c r="J310" s="45">
        <v>41153</v>
      </c>
      <c r="K310" s="128">
        <v>20</v>
      </c>
      <c r="L310" s="362" t="s">
        <v>46</v>
      </c>
      <c r="M310" s="363"/>
      <c r="N310" s="274">
        <v>0</v>
      </c>
      <c r="O310" s="58">
        <v>1150000</v>
      </c>
      <c r="P310" s="129">
        <f>Q310+R310+S310</f>
        <v>34500000</v>
      </c>
      <c r="Q310" s="129">
        <f>O310*N310*1.5</f>
        <v>0</v>
      </c>
      <c r="R310" s="129">
        <v>0</v>
      </c>
      <c r="S310" s="137">
        <f>30*O310</f>
        <v>34500000</v>
      </c>
      <c r="T310" s="264" t="s">
        <v>2048</v>
      </c>
      <c r="U310" s="240">
        <v>42646</v>
      </c>
    </row>
    <row r="311" spans="1:21" s="204" customFormat="1" ht="27" customHeight="1">
      <c r="A311" s="274">
        <f>IF(B311&lt;&gt;"",SUBTOTAL(103,$D$7:$D311),"")</f>
        <v>150</v>
      </c>
      <c r="B311" s="274">
        <f>IF(C311&lt;&gt;"",SUBTOTAL(103,$C$303:$C311),"")</f>
        <v>4</v>
      </c>
      <c r="C311" s="245" t="s">
        <v>1017</v>
      </c>
      <c r="D311" s="275" t="s">
        <v>1018</v>
      </c>
      <c r="E311" s="43" t="s">
        <v>314</v>
      </c>
      <c r="F311" s="43" t="s">
        <v>1019</v>
      </c>
      <c r="G311" s="43" t="s">
        <v>341</v>
      </c>
      <c r="H311" s="43" t="s">
        <v>333</v>
      </c>
      <c r="I311" s="43" t="s">
        <v>683</v>
      </c>
      <c r="J311" s="45">
        <v>41244</v>
      </c>
      <c r="K311" s="128">
        <f>11+16</f>
        <v>27</v>
      </c>
      <c r="L311" s="45">
        <v>42370</v>
      </c>
      <c r="M311" s="45">
        <v>42430</v>
      </c>
      <c r="N311" s="128">
        <f>DATEDIF(L311,M311,"m")+1</f>
        <v>3</v>
      </c>
      <c r="O311" s="58">
        <v>1150000</v>
      </c>
      <c r="P311" s="129">
        <f aca="true" t="shared" si="17" ref="P311:P324">Q311+R311+S311</f>
        <v>25175000</v>
      </c>
      <c r="Q311" s="129">
        <f>O311*N311*1.5</f>
        <v>5175000</v>
      </c>
      <c r="R311" s="129">
        <v>20000000</v>
      </c>
      <c r="S311" s="129">
        <v>0</v>
      </c>
      <c r="T311" s="260" t="s">
        <v>1291</v>
      </c>
      <c r="U311" s="241">
        <v>42646</v>
      </c>
    </row>
    <row r="312" spans="1:21" s="204" customFormat="1" ht="27" customHeight="1">
      <c r="A312" s="274">
        <f>IF(B312&lt;&gt;"",SUBTOTAL(103,$D$7:$D312),"")</f>
        <v>151</v>
      </c>
      <c r="B312" s="220">
        <f>IF(C312&lt;&gt;"",SUBTOTAL(103,$C$303:$C312),"")</f>
        <v>5</v>
      </c>
      <c r="C312" s="221" t="s">
        <v>1506</v>
      </c>
      <c r="D312" s="47" t="s">
        <v>1507</v>
      </c>
      <c r="E312" s="42" t="s">
        <v>314</v>
      </c>
      <c r="F312" s="42" t="s">
        <v>1508</v>
      </c>
      <c r="G312" s="42" t="s">
        <v>341</v>
      </c>
      <c r="H312" s="42" t="s">
        <v>1509</v>
      </c>
      <c r="I312" s="42" t="s">
        <v>1510</v>
      </c>
      <c r="J312" s="45">
        <v>40179</v>
      </c>
      <c r="K312" s="128">
        <v>30</v>
      </c>
      <c r="L312" s="362" t="s">
        <v>46</v>
      </c>
      <c r="M312" s="363"/>
      <c r="N312" s="128">
        <v>0</v>
      </c>
      <c r="O312" s="58">
        <v>1150000</v>
      </c>
      <c r="P312" s="129">
        <f t="shared" si="17"/>
        <v>92000000</v>
      </c>
      <c r="Q312" s="129">
        <f>N312*O312</f>
        <v>0</v>
      </c>
      <c r="R312" s="129">
        <v>0</v>
      </c>
      <c r="S312" s="137">
        <f>+O312*80</f>
        <v>92000000</v>
      </c>
      <c r="T312" s="264" t="s">
        <v>2049</v>
      </c>
      <c r="U312" s="240"/>
    </row>
    <row r="313" spans="1:21" s="204" customFormat="1" ht="27" customHeight="1">
      <c r="A313" s="274">
        <f>IF(B313&lt;&gt;"",SUBTOTAL(103,$D$7:$D313),"")</f>
        <v>152</v>
      </c>
      <c r="B313" s="220">
        <f>IF(C313&lt;&gt;"",SUBTOTAL(103,$C$303:$C313),"")</f>
        <v>6</v>
      </c>
      <c r="C313" s="245" t="s">
        <v>27</v>
      </c>
      <c r="D313" s="275" t="s">
        <v>902</v>
      </c>
      <c r="E313" s="42" t="s">
        <v>314</v>
      </c>
      <c r="F313" s="42" t="s">
        <v>903</v>
      </c>
      <c r="G313" s="42" t="s">
        <v>346</v>
      </c>
      <c r="H313" s="42" t="s">
        <v>904</v>
      </c>
      <c r="I313" s="42" t="s">
        <v>682</v>
      </c>
      <c r="J313" s="45">
        <v>41609</v>
      </c>
      <c r="K313" s="128">
        <v>20</v>
      </c>
      <c r="L313" s="362" t="s">
        <v>46</v>
      </c>
      <c r="M313" s="363"/>
      <c r="N313" s="128">
        <v>0</v>
      </c>
      <c r="O313" s="58">
        <v>1150000</v>
      </c>
      <c r="P313" s="129">
        <f t="shared" si="17"/>
        <v>34500000</v>
      </c>
      <c r="Q313" s="129">
        <f>O313*N313*1.5</f>
        <v>0</v>
      </c>
      <c r="R313" s="129">
        <v>0</v>
      </c>
      <c r="S313" s="137">
        <f>30*O313</f>
        <v>34500000</v>
      </c>
      <c r="T313" s="264" t="s">
        <v>1504</v>
      </c>
      <c r="U313" s="240">
        <v>42646</v>
      </c>
    </row>
    <row r="314" spans="1:21" s="204" customFormat="1" ht="27" customHeight="1">
      <c r="A314" s="274">
        <f>IF(B314&lt;&gt;"",SUBTOTAL(103,$D$7:$D314),"")</f>
        <v>153</v>
      </c>
      <c r="B314" s="220">
        <f>IF(C314&lt;&gt;"",SUBTOTAL(103,$C$303:$C314),"")</f>
        <v>7</v>
      </c>
      <c r="C314" s="245" t="s">
        <v>232</v>
      </c>
      <c r="D314" s="275" t="s">
        <v>873</v>
      </c>
      <c r="E314" s="43" t="s">
        <v>314</v>
      </c>
      <c r="F314" s="42" t="s">
        <v>874</v>
      </c>
      <c r="G314" s="42" t="s">
        <v>346</v>
      </c>
      <c r="H314" s="42" t="s">
        <v>875</v>
      </c>
      <c r="I314" s="42" t="s">
        <v>94</v>
      </c>
      <c r="J314" s="45">
        <v>41609</v>
      </c>
      <c r="K314" s="128">
        <v>20</v>
      </c>
      <c r="L314" s="362" t="s">
        <v>46</v>
      </c>
      <c r="M314" s="363"/>
      <c r="N314" s="128">
        <v>0</v>
      </c>
      <c r="O314" s="58">
        <v>1150000</v>
      </c>
      <c r="P314" s="129">
        <f t="shared" si="17"/>
        <v>34500000</v>
      </c>
      <c r="Q314" s="129">
        <f>O314*N314*1.5</f>
        <v>0</v>
      </c>
      <c r="R314" s="129">
        <v>0</v>
      </c>
      <c r="S314" s="137">
        <f>30*O314</f>
        <v>34500000</v>
      </c>
      <c r="T314" s="260" t="s">
        <v>2050</v>
      </c>
      <c r="U314" s="246">
        <v>42646</v>
      </c>
    </row>
    <row r="315" spans="1:21" s="204" customFormat="1" ht="27" customHeight="1">
      <c r="A315" s="274">
        <f>IF(B315&lt;&gt;"",SUBTOTAL(103,$D$7:$D315),"")</f>
        <v>154</v>
      </c>
      <c r="B315" s="220">
        <f>IF(C315&lt;&gt;"",SUBTOTAL(103,$C$303:$C315),"")</f>
        <v>8</v>
      </c>
      <c r="C315" s="221" t="s">
        <v>233</v>
      </c>
      <c r="D315" s="47" t="s">
        <v>235</v>
      </c>
      <c r="E315" s="42" t="s">
        <v>95</v>
      </c>
      <c r="F315" s="42" t="s">
        <v>93</v>
      </c>
      <c r="G315" s="42" t="s">
        <v>341</v>
      </c>
      <c r="H315" s="42" t="s">
        <v>96</v>
      </c>
      <c r="I315" s="42" t="s">
        <v>683</v>
      </c>
      <c r="J315" s="45">
        <v>41609</v>
      </c>
      <c r="K315" s="128">
        <v>24</v>
      </c>
      <c r="L315" s="45">
        <v>42370</v>
      </c>
      <c r="M315" s="45">
        <v>42522</v>
      </c>
      <c r="N315" s="128">
        <f aca="true" t="shared" si="18" ref="N315:N326">DATEDIF(L315,M315,"m")+1</f>
        <v>6</v>
      </c>
      <c r="O315" s="58"/>
      <c r="P315" s="129">
        <f t="shared" si="17"/>
        <v>32530000</v>
      </c>
      <c r="Q315" s="129">
        <f>SUM(Q316:Q317)</f>
        <v>10530000</v>
      </c>
      <c r="R315" s="129">
        <v>22000000</v>
      </c>
      <c r="S315" s="137">
        <v>0</v>
      </c>
      <c r="T315" s="264" t="s">
        <v>1505</v>
      </c>
      <c r="U315" s="240">
        <v>42646</v>
      </c>
    </row>
    <row r="316" spans="1:21" s="204" customFormat="1" ht="27" customHeight="1" hidden="1" outlineLevel="1">
      <c r="A316" s="274">
        <f>IF(B316&lt;&gt;"",SUBTOTAL(103,$D$7:$D316),"")</f>
      </c>
      <c r="B316" s="220">
        <f>IF(C316&lt;&gt;"",SUBTOTAL(103,$C$303:$C316),"")</f>
      </c>
      <c r="C316" s="221"/>
      <c r="D316" s="47"/>
      <c r="E316" s="42"/>
      <c r="F316" s="42"/>
      <c r="G316" s="42"/>
      <c r="H316" s="42"/>
      <c r="I316" s="42"/>
      <c r="J316" s="45"/>
      <c r="K316" s="128"/>
      <c r="L316" s="45">
        <v>42370</v>
      </c>
      <c r="M316" s="45">
        <v>42461</v>
      </c>
      <c r="N316" s="128">
        <f t="shared" si="18"/>
        <v>4</v>
      </c>
      <c r="O316" s="58">
        <v>1150000</v>
      </c>
      <c r="P316" s="129"/>
      <c r="Q316" s="129">
        <f>O316*N316*1.5</f>
        <v>6900000</v>
      </c>
      <c r="R316" s="129"/>
      <c r="S316" s="137"/>
      <c r="T316" s="258"/>
      <c r="U316" s="222"/>
    </row>
    <row r="317" spans="1:21" s="204" customFormat="1" ht="27" customHeight="1" hidden="1" outlineLevel="1">
      <c r="A317" s="274">
        <f>IF(B317&lt;&gt;"",SUBTOTAL(103,$D$7:$D317),"")</f>
      </c>
      <c r="B317" s="220">
        <f>IF(C317&lt;&gt;"",SUBTOTAL(103,$C$303:$C317),"")</f>
      </c>
      <c r="C317" s="221"/>
      <c r="D317" s="47"/>
      <c r="E317" s="42"/>
      <c r="F317" s="42"/>
      <c r="G317" s="42"/>
      <c r="H317" s="42"/>
      <c r="I317" s="42"/>
      <c r="J317" s="45"/>
      <c r="K317" s="128"/>
      <c r="L317" s="45">
        <v>42491</v>
      </c>
      <c r="M317" s="45">
        <v>42522</v>
      </c>
      <c r="N317" s="128">
        <f t="shared" si="18"/>
        <v>2</v>
      </c>
      <c r="O317" s="58">
        <v>1210000</v>
      </c>
      <c r="P317" s="129"/>
      <c r="Q317" s="129">
        <f>O317*N317*1.5</f>
        <v>3630000</v>
      </c>
      <c r="R317" s="129"/>
      <c r="S317" s="137"/>
      <c r="T317" s="258"/>
      <c r="U317" s="222"/>
    </row>
    <row r="318" spans="1:21" s="204" customFormat="1" ht="27" customHeight="1" collapsed="1">
      <c r="A318" s="274">
        <f>IF(B318&lt;&gt;"",SUBTOTAL(103,$D$7:$D318),"")</f>
        <v>155</v>
      </c>
      <c r="B318" s="220">
        <f>IF(C318&lt;&gt;"",SUBTOTAL(103,$C$303:$C318),"")</f>
        <v>9</v>
      </c>
      <c r="C318" s="221" t="s">
        <v>768</v>
      </c>
      <c r="D318" s="47" t="s">
        <v>769</v>
      </c>
      <c r="E318" s="42" t="s">
        <v>314</v>
      </c>
      <c r="F318" s="42" t="s">
        <v>770</v>
      </c>
      <c r="G318" s="42" t="s">
        <v>346</v>
      </c>
      <c r="H318" s="42" t="s">
        <v>1020</v>
      </c>
      <c r="I318" s="42" t="s">
        <v>1038</v>
      </c>
      <c r="J318" s="45">
        <v>41913</v>
      </c>
      <c r="K318" s="128">
        <v>15</v>
      </c>
      <c r="L318" s="45">
        <v>42370</v>
      </c>
      <c r="M318" s="45">
        <v>42491</v>
      </c>
      <c r="N318" s="128">
        <f t="shared" si="18"/>
        <v>5</v>
      </c>
      <c r="O318" s="58"/>
      <c r="P318" s="129">
        <f t="shared" si="17"/>
        <v>33915000</v>
      </c>
      <c r="Q318" s="129">
        <f>SUM(Q319:Q320)</f>
        <v>8715000</v>
      </c>
      <c r="R318" s="129">
        <f>1200000+12000000+12000000</f>
        <v>25200000</v>
      </c>
      <c r="S318" s="137">
        <v>0</v>
      </c>
      <c r="T318" s="264" t="s">
        <v>1499</v>
      </c>
      <c r="U318" s="240">
        <v>42646</v>
      </c>
    </row>
    <row r="319" spans="1:21" s="204" customFormat="1" ht="27" customHeight="1" hidden="1" outlineLevel="1">
      <c r="A319" s="274">
        <f>IF(B319&lt;&gt;"",SUBTOTAL(103,$D$7:$D319),"")</f>
      </c>
      <c r="B319" s="220">
        <f>IF(C319&lt;&gt;"",SUBTOTAL(103,$C$303:$C319),"")</f>
      </c>
      <c r="C319" s="221"/>
      <c r="D319" s="47"/>
      <c r="E319" s="42"/>
      <c r="F319" s="42"/>
      <c r="G319" s="42"/>
      <c r="H319" s="42"/>
      <c r="I319" s="42"/>
      <c r="J319" s="45"/>
      <c r="K319" s="128"/>
      <c r="L319" s="45">
        <v>42370</v>
      </c>
      <c r="M319" s="45">
        <v>42461</v>
      </c>
      <c r="N319" s="128">
        <f t="shared" si="18"/>
        <v>4</v>
      </c>
      <c r="O319" s="58">
        <v>1150000</v>
      </c>
      <c r="P319" s="129"/>
      <c r="Q319" s="129">
        <f>O319*N319*1.5</f>
        <v>6900000</v>
      </c>
      <c r="R319" s="129"/>
      <c r="S319" s="137"/>
      <c r="T319" s="264"/>
      <c r="U319" s="240"/>
    </row>
    <row r="320" spans="1:21" s="204" customFormat="1" ht="27" customHeight="1" hidden="1" outlineLevel="1">
      <c r="A320" s="274">
        <f>IF(B320&lt;&gt;"",SUBTOTAL(103,$D$7:$D320),"")</f>
      </c>
      <c r="B320" s="220">
        <f>IF(C320&lt;&gt;"",SUBTOTAL(103,$C$303:$C320),"")</f>
      </c>
      <c r="C320" s="221"/>
      <c r="D320" s="47"/>
      <c r="E320" s="42"/>
      <c r="F320" s="42"/>
      <c r="G320" s="42"/>
      <c r="H320" s="42"/>
      <c r="I320" s="42"/>
      <c r="J320" s="45"/>
      <c r="K320" s="128"/>
      <c r="L320" s="45">
        <v>42491</v>
      </c>
      <c r="M320" s="45">
        <v>42491</v>
      </c>
      <c r="N320" s="128">
        <f t="shared" si="18"/>
        <v>1</v>
      </c>
      <c r="O320" s="58">
        <v>1210000</v>
      </c>
      <c r="P320" s="129"/>
      <c r="Q320" s="129">
        <f>O320*N320*1.5</f>
        <v>1815000</v>
      </c>
      <c r="R320" s="129"/>
      <c r="S320" s="137"/>
      <c r="T320" s="264"/>
      <c r="U320" s="222"/>
    </row>
    <row r="321" spans="1:21" s="204" customFormat="1" ht="27" customHeight="1" collapsed="1">
      <c r="A321" s="274">
        <f>IF(B321&lt;&gt;"",SUBTOTAL(103,$D$7:$D321),"")</f>
        <v>156</v>
      </c>
      <c r="B321" s="220">
        <f>IF(C321&lt;&gt;"",SUBTOTAL(103,$C$303:$C321),"")</f>
        <v>10</v>
      </c>
      <c r="C321" s="221" t="s">
        <v>484</v>
      </c>
      <c r="D321" s="47" t="s">
        <v>766</v>
      </c>
      <c r="E321" s="42" t="s">
        <v>314</v>
      </c>
      <c r="F321" s="42" t="s">
        <v>767</v>
      </c>
      <c r="G321" s="42" t="s">
        <v>346</v>
      </c>
      <c r="H321" s="42" t="s">
        <v>1165</v>
      </c>
      <c r="I321" s="42" t="s">
        <v>1166</v>
      </c>
      <c r="J321" s="45">
        <v>41913</v>
      </c>
      <c r="K321" s="128">
        <v>15</v>
      </c>
      <c r="L321" s="45">
        <v>42370</v>
      </c>
      <c r="M321" s="45">
        <v>42491</v>
      </c>
      <c r="N321" s="128">
        <f t="shared" si="18"/>
        <v>5</v>
      </c>
      <c r="O321" s="217"/>
      <c r="P321" s="129">
        <f t="shared" si="17"/>
        <v>80715000</v>
      </c>
      <c r="Q321" s="129">
        <f>SUM(Q322:Q323)</f>
        <v>8715000</v>
      </c>
      <c r="R321" s="129">
        <f>36000000+36000000</f>
        <v>72000000</v>
      </c>
      <c r="S321" s="137">
        <v>0</v>
      </c>
      <c r="T321" s="264" t="s">
        <v>1498</v>
      </c>
      <c r="U321" s="240">
        <v>42646</v>
      </c>
    </row>
    <row r="322" spans="1:21" s="204" customFormat="1" ht="27" customHeight="1" hidden="1" outlineLevel="1">
      <c r="A322" s="274">
        <f>IF(B322&lt;&gt;"",SUBTOTAL(103,$D$7:$D322),"")</f>
      </c>
      <c r="B322" s="220">
        <f>IF(C322&lt;&gt;"",SUBTOTAL(103,$C$303:$C322),"")</f>
      </c>
      <c r="C322" s="221"/>
      <c r="D322" s="47"/>
      <c r="E322" s="42"/>
      <c r="F322" s="42"/>
      <c r="G322" s="42"/>
      <c r="H322" s="42"/>
      <c r="I322" s="42"/>
      <c r="J322" s="45"/>
      <c r="K322" s="128"/>
      <c r="L322" s="45">
        <v>42370</v>
      </c>
      <c r="M322" s="45">
        <v>42461</v>
      </c>
      <c r="N322" s="128">
        <f t="shared" si="18"/>
        <v>4</v>
      </c>
      <c r="O322" s="58">
        <v>1150000</v>
      </c>
      <c r="P322" s="129"/>
      <c r="Q322" s="129">
        <f>O322*N322*1.5</f>
        <v>6900000</v>
      </c>
      <c r="R322" s="129"/>
      <c r="S322" s="137"/>
      <c r="T322" s="264"/>
      <c r="U322" s="240"/>
    </row>
    <row r="323" spans="1:21" s="204" customFormat="1" ht="27" customHeight="1" hidden="1" outlineLevel="1">
      <c r="A323" s="274">
        <f>IF(B323&lt;&gt;"",SUBTOTAL(103,$D$7:$D323),"")</f>
      </c>
      <c r="B323" s="220">
        <f>IF(C323&lt;&gt;"",SUBTOTAL(103,$C$303:$C323),"")</f>
      </c>
      <c r="C323" s="221"/>
      <c r="D323" s="47"/>
      <c r="E323" s="42"/>
      <c r="F323" s="42"/>
      <c r="G323" s="42"/>
      <c r="H323" s="42"/>
      <c r="I323" s="42"/>
      <c r="J323" s="45"/>
      <c r="K323" s="128"/>
      <c r="L323" s="45">
        <v>42491</v>
      </c>
      <c r="M323" s="45">
        <v>42491</v>
      </c>
      <c r="N323" s="128">
        <f t="shared" si="18"/>
        <v>1</v>
      </c>
      <c r="O323" s="58">
        <v>1210000</v>
      </c>
      <c r="P323" s="129"/>
      <c r="Q323" s="129">
        <f>O323*N323*1.5</f>
        <v>1815000</v>
      </c>
      <c r="R323" s="129"/>
      <c r="S323" s="137"/>
      <c r="T323" s="264"/>
      <c r="U323" s="222"/>
    </row>
    <row r="324" spans="1:21" s="204" customFormat="1" ht="22.5" collapsed="1">
      <c r="A324" s="274">
        <f>IF(B324&lt;&gt;"",SUBTOTAL(103,$D$7:$D324),"")</f>
        <v>157</v>
      </c>
      <c r="B324" s="220">
        <f>IF(C324&lt;&gt;"",SUBTOTAL(103,$C$303:$C324),"")</f>
        <v>11</v>
      </c>
      <c r="C324" s="221" t="s">
        <v>512</v>
      </c>
      <c r="D324" s="47" t="s">
        <v>513</v>
      </c>
      <c r="E324" s="42" t="s">
        <v>2151</v>
      </c>
      <c r="F324" s="42" t="s">
        <v>514</v>
      </c>
      <c r="G324" s="42" t="s">
        <v>346</v>
      </c>
      <c r="H324" s="42" t="s">
        <v>376</v>
      </c>
      <c r="I324" s="42" t="s">
        <v>515</v>
      </c>
      <c r="J324" s="45">
        <v>42005</v>
      </c>
      <c r="K324" s="127">
        <v>12</v>
      </c>
      <c r="L324" s="45">
        <v>42370</v>
      </c>
      <c r="M324" s="45">
        <v>42583</v>
      </c>
      <c r="N324" s="128">
        <f t="shared" si="18"/>
        <v>8</v>
      </c>
      <c r="O324" s="137"/>
      <c r="P324" s="129">
        <f t="shared" si="17"/>
        <v>26200000</v>
      </c>
      <c r="Q324" s="129">
        <f>SUM(Q325:Q326)</f>
        <v>14160000</v>
      </c>
      <c r="R324" s="129">
        <f>7885000+4155000</f>
        <v>12040000</v>
      </c>
      <c r="S324" s="129">
        <v>0</v>
      </c>
      <c r="T324" s="258" t="s">
        <v>2051</v>
      </c>
      <c r="U324" s="240">
        <v>42646</v>
      </c>
    </row>
    <row r="325" spans="1:21" s="204" customFormat="1" ht="27" customHeight="1" hidden="1" outlineLevel="1">
      <c r="A325" s="274">
        <f>IF(B325&lt;&gt;"",SUBTOTAL(103,$D$7:$D325),"")</f>
      </c>
      <c r="B325" s="220"/>
      <c r="C325" s="221"/>
      <c r="D325" s="47"/>
      <c r="E325" s="42"/>
      <c r="F325" s="42"/>
      <c r="G325" s="42"/>
      <c r="H325" s="42"/>
      <c r="I325" s="42"/>
      <c r="J325" s="45"/>
      <c r="K325" s="127"/>
      <c r="L325" s="45">
        <v>42370</v>
      </c>
      <c r="M325" s="45">
        <v>42461</v>
      </c>
      <c r="N325" s="128">
        <f t="shared" si="18"/>
        <v>4</v>
      </c>
      <c r="O325" s="58">
        <v>1150000</v>
      </c>
      <c r="P325" s="129"/>
      <c r="Q325" s="129">
        <f>O325*N325*1.5</f>
        <v>6900000</v>
      </c>
      <c r="R325" s="129"/>
      <c r="S325" s="137"/>
      <c r="T325" s="258"/>
      <c r="U325" s="222"/>
    </row>
    <row r="326" spans="1:21" s="204" customFormat="1" ht="27" customHeight="1" hidden="1" outlineLevel="1">
      <c r="A326" s="274">
        <f>IF(B326&lt;&gt;"",SUBTOTAL(103,$D$7:$D326),"")</f>
      </c>
      <c r="B326" s="220"/>
      <c r="C326" s="221"/>
      <c r="D326" s="47"/>
      <c r="E326" s="42"/>
      <c r="F326" s="42"/>
      <c r="G326" s="42"/>
      <c r="H326" s="42"/>
      <c r="I326" s="42"/>
      <c r="J326" s="45"/>
      <c r="K326" s="127"/>
      <c r="L326" s="45">
        <v>42491</v>
      </c>
      <c r="M326" s="45">
        <v>42583</v>
      </c>
      <c r="N326" s="128">
        <f t="shared" si="18"/>
        <v>4</v>
      </c>
      <c r="O326" s="58">
        <v>1210000</v>
      </c>
      <c r="P326" s="129"/>
      <c r="Q326" s="129">
        <f>O326*N326*1.5</f>
        <v>7260000</v>
      </c>
      <c r="R326" s="129"/>
      <c r="S326" s="137"/>
      <c r="T326" s="258"/>
      <c r="U326" s="222"/>
    </row>
    <row r="327" spans="1:21" s="273" customFormat="1" ht="27" customHeight="1" collapsed="1">
      <c r="A327" s="274">
        <f>IF(B327&lt;&gt;"",SUBTOTAL(103,$D$7:$D327),"")</f>
      </c>
      <c r="B327" s="213"/>
      <c r="C327" s="214" t="s">
        <v>211</v>
      </c>
      <c r="D327" s="218"/>
      <c r="E327" s="7"/>
      <c r="F327" s="7"/>
      <c r="G327" s="7"/>
      <c r="H327" s="7"/>
      <c r="I327" s="7"/>
      <c r="J327" s="136"/>
      <c r="K327" s="20"/>
      <c r="L327" s="21"/>
      <c r="M327" s="21"/>
      <c r="N327" s="22"/>
      <c r="O327" s="11"/>
      <c r="P327" s="12">
        <f>SUBTOTAL(109,P328:P354)</f>
        <v>568989000</v>
      </c>
      <c r="Q327" s="12">
        <f>SUBTOTAL(109,Q328:Q354)</f>
        <v>115005000</v>
      </c>
      <c r="R327" s="12">
        <f>SUBTOTAL(109,R328:R354)</f>
        <v>281484000</v>
      </c>
      <c r="S327" s="12">
        <f>SUBTOTAL(109,S328:S354)</f>
        <v>172500000</v>
      </c>
      <c r="T327" s="316" t="s">
        <v>2180</v>
      </c>
      <c r="U327" s="12">
        <f>+P327-78525000</f>
        <v>490464000</v>
      </c>
    </row>
    <row r="328" spans="1:21" s="204" customFormat="1" ht="27" customHeight="1">
      <c r="A328" s="274">
        <f>IF(B328&lt;&gt;"",SUBTOTAL(103,$D$7:$D328),"")</f>
        <v>158</v>
      </c>
      <c r="B328" s="220">
        <f>IF(C328&lt;&gt;"",SUBTOTAL(103,$C$328:$C328),"")</f>
        <v>1</v>
      </c>
      <c r="C328" s="221" t="s">
        <v>401</v>
      </c>
      <c r="D328" s="47" t="s">
        <v>402</v>
      </c>
      <c r="E328" s="42" t="s">
        <v>314</v>
      </c>
      <c r="F328" s="42" t="s">
        <v>403</v>
      </c>
      <c r="G328" s="42" t="s">
        <v>346</v>
      </c>
      <c r="H328" s="42" t="s">
        <v>209</v>
      </c>
      <c r="I328" s="42" t="s">
        <v>1038</v>
      </c>
      <c r="J328" s="45">
        <v>41487</v>
      </c>
      <c r="K328" s="127"/>
      <c r="L328" s="362" t="s">
        <v>46</v>
      </c>
      <c r="M328" s="363"/>
      <c r="N328" s="101">
        <v>0</v>
      </c>
      <c r="O328" s="58">
        <v>1150000</v>
      </c>
      <c r="P328" s="129">
        <f aca="true" t="shared" si="19" ref="P328:P333">Q328+R328+S328</f>
        <v>34500000</v>
      </c>
      <c r="Q328" s="129">
        <f>N328*O328*1.5</f>
        <v>0</v>
      </c>
      <c r="R328" s="129">
        <v>0</v>
      </c>
      <c r="S328" s="129">
        <f>O328*30</f>
        <v>34500000</v>
      </c>
      <c r="T328" s="258" t="s">
        <v>2052</v>
      </c>
      <c r="U328" s="222"/>
    </row>
    <row r="329" spans="1:21" s="204" customFormat="1" ht="27" customHeight="1">
      <c r="A329" s="274">
        <f>IF(B329&lt;&gt;"",SUBTOTAL(103,$D$7:$D329),"")</f>
        <v>159</v>
      </c>
      <c r="B329" s="220">
        <f>IF(C329&lt;&gt;"",SUBTOTAL(103,$C$328:$C329),"")</f>
        <v>2</v>
      </c>
      <c r="C329" s="221" t="s">
        <v>444</v>
      </c>
      <c r="D329" s="47" t="s">
        <v>445</v>
      </c>
      <c r="E329" s="42" t="s">
        <v>314</v>
      </c>
      <c r="F329" s="42" t="s">
        <v>237</v>
      </c>
      <c r="G329" s="42" t="s">
        <v>346</v>
      </c>
      <c r="H329" s="42" t="s">
        <v>238</v>
      </c>
      <c r="I329" s="42" t="s">
        <v>1038</v>
      </c>
      <c r="J329" s="45">
        <v>41487</v>
      </c>
      <c r="K329" s="127"/>
      <c r="L329" s="362" t="s">
        <v>46</v>
      </c>
      <c r="M329" s="363"/>
      <c r="N329" s="101">
        <v>0</v>
      </c>
      <c r="O329" s="58">
        <v>1150000</v>
      </c>
      <c r="P329" s="129">
        <f t="shared" si="19"/>
        <v>34500000</v>
      </c>
      <c r="Q329" s="129">
        <f>N329*O329*1.5</f>
        <v>0</v>
      </c>
      <c r="R329" s="129">
        <v>0</v>
      </c>
      <c r="S329" s="129">
        <f>O329*30</f>
        <v>34500000</v>
      </c>
      <c r="T329" s="258" t="s">
        <v>2053</v>
      </c>
      <c r="U329" s="222"/>
    </row>
    <row r="330" spans="1:21" s="204" customFormat="1" ht="27" customHeight="1">
      <c r="A330" s="274">
        <f>IF(B330&lt;&gt;"",SUBTOTAL(103,$D$7:$D330),"")</f>
        <v>160</v>
      </c>
      <c r="B330" s="220">
        <f>IF(C330&lt;&gt;"",SUBTOTAL(103,$C$328:$C330),"")</f>
        <v>3</v>
      </c>
      <c r="C330" s="221" t="s">
        <v>945</v>
      </c>
      <c r="D330" s="47" t="s">
        <v>946</v>
      </c>
      <c r="E330" s="42" t="s">
        <v>554</v>
      </c>
      <c r="F330" s="42" t="s">
        <v>947</v>
      </c>
      <c r="G330" s="42" t="s">
        <v>346</v>
      </c>
      <c r="H330" s="42" t="s">
        <v>548</v>
      </c>
      <c r="I330" s="42" t="s">
        <v>94</v>
      </c>
      <c r="J330" s="45">
        <v>41609</v>
      </c>
      <c r="K330" s="128">
        <v>20</v>
      </c>
      <c r="L330" s="362" t="s">
        <v>46</v>
      </c>
      <c r="M330" s="363"/>
      <c r="N330" s="128">
        <v>0</v>
      </c>
      <c r="O330" s="129">
        <v>1150000</v>
      </c>
      <c r="P330" s="129">
        <f t="shared" si="19"/>
        <v>46500000</v>
      </c>
      <c r="Q330" s="129">
        <f>N330*O330*1.5</f>
        <v>0</v>
      </c>
      <c r="R330" s="129">
        <v>12000000</v>
      </c>
      <c r="S330" s="129">
        <f>O330*30</f>
        <v>34500000</v>
      </c>
      <c r="T330" s="264" t="s">
        <v>2054</v>
      </c>
      <c r="U330" s="222"/>
    </row>
    <row r="331" spans="1:21" s="204" customFormat="1" ht="27" customHeight="1">
      <c r="A331" s="274">
        <f>IF(B331&lt;&gt;"",SUBTOTAL(103,$D$7:$D331),"")</f>
        <v>161</v>
      </c>
      <c r="B331" s="220">
        <f>IF(C331&lt;&gt;"",SUBTOTAL(103,$C$328:$C331),"")</f>
        <v>4</v>
      </c>
      <c r="C331" s="221" t="s">
        <v>948</v>
      </c>
      <c r="D331" s="47" t="s">
        <v>949</v>
      </c>
      <c r="E331" s="42" t="s">
        <v>556</v>
      </c>
      <c r="F331" s="42" t="s">
        <v>950</v>
      </c>
      <c r="G331" s="42" t="s">
        <v>346</v>
      </c>
      <c r="H331" s="42" t="s">
        <v>1157</v>
      </c>
      <c r="I331" s="42" t="s">
        <v>94</v>
      </c>
      <c r="J331" s="45">
        <v>41609</v>
      </c>
      <c r="K331" s="128">
        <v>20</v>
      </c>
      <c r="L331" s="362" t="s">
        <v>46</v>
      </c>
      <c r="M331" s="363"/>
      <c r="N331" s="128">
        <v>0</v>
      </c>
      <c r="O331" s="129">
        <v>1150000</v>
      </c>
      <c r="P331" s="129">
        <f t="shared" si="19"/>
        <v>40500000</v>
      </c>
      <c r="Q331" s="129">
        <f>N331*O331*1.5</f>
        <v>0</v>
      </c>
      <c r="R331" s="129">
        <v>6000000</v>
      </c>
      <c r="S331" s="129">
        <f>O331*30</f>
        <v>34500000</v>
      </c>
      <c r="T331" s="264" t="s">
        <v>2055</v>
      </c>
      <c r="U331" s="222"/>
    </row>
    <row r="332" spans="1:21" s="204" customFormat="1" ht="27" customHeight="1">
      <c r="A332" s="274">
        <f>IF(B332&lt;&gt;"",SUBTOTAL(103,$D$7:$D332),"")</f>
        <v>162</v>
      </c>
      <c r="B332" s="220">
        <f>IF(C332&lt;&gt;"",SUBTOTAL(103,$C$328:$C332),"")</f>
        <v>5</v>
      </c>
      <c r="C332" s="221" t="s">
        <v>951</v>
      </c>
      <c r="D332" s="47" t="s">
        <v>952</v>
      </c>
      <c r="E332" s="42" t="s">
        <v>554</v>
      </c>
      <c r="F332" s="42" t="s">
        <v>953</v>
      </c>
      <c r="G332" s="42" t="s">
        <v>346</v>
      </c>
      <c r="H332" s="42" t="s">
        <v>1165</v>
      </c>
      <c r="I332" s="42" t="s">
        <v>954</v>
      </c>
      <c r="J332" s="45">
        <v>41609</v>
      </c>
      <c r="K332" s="128">
        <v>20</v>
      </c>
      <c r="L332" s="362" t="s">
        <v>46</v>
      </c>
      <c r="M332" s="363"/>
      <c r="N332" s="128">
        <v>0</v>
      </c>
      <c r="O332" s="129">
        <v>1150000</v>
      </c>
      <c r="P332" s="129">
        <f t="shared" si="19"/>
        <v>76500000</v>
      </c>
      <c r="Q332" s="129">
        <f>N332*O332*1.5</f>
        <v>0</v>
      </c>
      <c r="R332" s="129">
        <v>42000000</v>
      </c>
      <c r="S332" s="129">
        <f>O332*30</f>
        <v>34500000</v>
      </c>
      <c r="T332" s="264" t="s">
        <v>2056</v>
      </c>
      <c r="U332" s="222"/>
    </row>
    <row r="333" spans="1:21" s="204" customFormat="1" ht="27" customHeight="1">
      <c r="A333" s="274">
        <f>IF(B333&lt;&gt;"",SUBTOTAL(103,$D$7:$D333),"")</f>
        <v>163</v>
      </c>
      <c r="B333" s="220">
        <f>IF(C333&lt;&gt;"",SUBTOTAL(103,$C$328:$C333),"")</f>
        <v>6</v>
      </c>
      <c r="C333" s="221" t="s">
        <v>565</v>
      </c>
      <c r="D333" s="47" t="s">
        <v>705</v>
      </c>
      <c r="E333" s="42" t="s">
        <v>566</v>
      </c>
      <c r="F333" s="42" t="s">
        <v>567</v>
      </c>
      <c r="G333" s="42" t="s">
        <v>341</v>
      </c>
      <c r="H333" s="42" t="s">
        <v>377</v>
      </c>
      <c r="I333" s="42" t="s">
        <v>568</v>
      </c>
      <c r="J333" s="45">
        <v>41609</v>
      </c>
      <c r="K333" s="128">
        <v>24</v>
      </c>
      <c r="L333" s="45">
        <v>42370</v>
      </c>
      <c r="M333" s="45">
        <v>42522</v>
      </c>
      <c r="N333" s="128">
        <f aca="true" t="shared" si="20" ref="N333:N356">DATEDIF(L333,M333,"m")+1</f>
        <v>6</v>
      </c>
      <c r="O333" s="129"/>
      <c r="P333" s="129">
        <f t="shared" si="19"/>
        <v>55155000</v>
      </c>
      <c r="Q333" s="129">
        <f>SUM(Q334,Q335)</f>
        <v>10530000</v>
      </c>
      <c r="R333" s="129">
        <f>15000000+15000000+14625000</f>
        <v>44625000</v>
      </c>
      <c r="S333" s="129">
        <v>0</v>
      </c>
      <c r="T333" s="264" t="s">
        <v>1208</v>
      </c>
      <c r="U333" s="222"/>
    </row>
    <row r="334" spans="1:21" s="204" customFormat="1" ht="27" customHeight="1" hidden="1" outlineLevel="1">
      <c r="A334" s="274">
        <f>IF(B334&lt;&gt;"",SUBTOTAL(103,$D$7:$D334),"")</f>
      </c>
      <c r="B334" s="220">
        <f>IF(C334&lt;&gt;"",SUBTOTAL(103,$C$328:$C334),"")</f>
      </c>
      <c r="C334" s="221"/>
      <c r="D334" s="47"/>
      <c r="E334" s="42"/>
      <c r="F334" s="42"/>
      <c r="G334" s="42"/>
      <c r="H334" s="42"/>
      <c r="I334" s="42"/>
      <c r="J334" s="45"/>
      <c r="K334" s="128"/>
      <c r="L334" s="45">
        <v>42370</v>
      </c>
      <c r="M334" s="45">
        <v>42461</v>
      </c>
      <c r="N334" s="128">
        <f t="shared" si="20"/>
        <v>4</v>
      </c>
      <c r="O334" s="137">
        <v>1150000</v>
      </c>
      <c r="P334" s="129"/>
      <c r="Q334" s="129">
        <f>N334*O334*1.5</f>
        <v>6900000</v>
      </c>
      <c r="R334" s="129"/>
      <c r="S334" s="129"/>
      <c r="T334" s="264"/>
      <c r="U334" s="222"/>
    </row>
    <row r="335" spans="1:21" s="204" customFormat="1" ht="27" customHeight="1" hidden="1" outlineLevel="1">
      <c r="A335" s="274">
        <f>IF(B335&lt;&gt;"",SUBTOTAL(103,$D$7:$D335),"")</f>
      </c>
      <c r="B335" s="220">
        <f>IF(C335&lt;&gt;"",SUBTOTAL(103,$C$328:$C335),"")</f>
      </c>
      <c r="C335" s="221"/>
      <c r="D335" s="47"/>
      <c r="E335" s="42"/>
      <c r="F335" s="42"/>
      <c r="G335" s="42"/>
      <c r="H335" s="42"/>
      <c r="I335" s="42"/>
      <c r="J335" s="45"/>
      <c r="K335" s="128"/>
      <c r="L335" s="45">
        <v>42491</v>
      </c>
      <c r="M335" s="45">
        <v>42522</v>
      </c>
      <c r="N335" s="128">
        <f t="shared" si="20"/>
        <v>2</v>
      </c>
      <c r="O335" s="137">
        <v>1210000</v>
      </c>
      <c r="P335" s="129"/>
      <c r="Q335" s="129">
        <f>N335*O335*1.5</f>
        <v>3630000</v>
      </c>
      <c r="R335" s="129"/>
      <c r="S335" s="129"/>
      <c r="T335" s="264"/>
      <c r="U335" s="222"/>
    </row>
    <row r="336" spans="1:21" s="204" customFormat="1" ht="27" customHeight="1" collapsed="1">
      <c r="A336" s="274">
        <f>IF(B336&lt;&gt;"",SUBTOTAL(103,$D$7:$D336),"")</f>
        <v>164</v>
      </c>
      <c r="B336" s="220">
        <f>IF(C336&lt;&gt;"",SUBTOTAL(103,$C$328:$C336),"")</f>
        <v>7</v>
      </c>
      <c r="C336" s="245" t="s">
        <v>955</v>
      </c>
      <c r="D336" s="275" t="s">
        <v>956</v>
      </c>
      <c r="E336" s="43" t="s">
        <v>555</v>
      </c>
      <c r="F336" s="43" t="s">
        <v>957</v>
      </c>
      <c r="G336" s="43" t="s">
        <v>341</v>
      </c>
      <c r="H336" s="43" t="s">
        <v>553</v>
      </c>
      <c r="I336" s="43" t="s">
        <v>1038</v>
      </c>
      <c r="J336" s="45">
        <v>41244</v>
      </c>
      <c r="K336" s="128">
        <v>24</v>
      </c>
      <c r="L336" s="45">
        <v>42370</v>
      </c>
      <c r="M336" s="45">
        <v>42522</v>
      </c>
      <c r="N336" s="128">
        <f t="shared" si="20"/>
        <v>6</v>
      </c>
      <c r="O336" s="129"/>
      <c r="P336" s="129">
        <f>Q336+R336+S336</f>
        <v>52530000</v>
      </c>
      <c r="Q336" s="129">
        <f>SUM(Q337,Q338)</f>
        <v>10530000</v>
      </c>
      <c r="R336" s="129">
        <f>22000000+20000000</f>
        <v>42000000</v>
      </c>
      <c r="S336" s="129">
        <v>0</v>
      </c>
      <c r="T336" s="260" t="s">
        <v>1332</v>
      </c>
      <c r="U336" s="241">
        <v>42623</v>
      </c>
    </row>
    <row r="337" spans="1:21" s="204" customFormat="1" ht="27" customHeight="1" hidden="1" outlineLevel="1">
      <c r="A337" s="274">
        <f>IF(B337&lt;&gt;"",SUBTOTAL(103,$D$7:$D337),"")</f>
      </c>
      <c r="B337" s="220">
        <f>IF(C337&lt;&gt;"",SUBTOTAL(103,$C$328:$C337),"")</f>
      </c>
      <c r="C337" s="245"/>
      <c r="D337" s="275"/>
      <c r="E337" s="43"/>
      <c r="F337" s="43"/>
      <c r="G337" s="43"/>
      <c r="H337" s="43"/>
      <c r="I337" s="43"/>
      <c r="J337" s="45"/>
      <c r="K337" s="128"/>
      <c r="L337" s="45">
        <v>42370</v>
      </c>
      <c r="M337" s="45">
        <v>42461</v>
      </c>
      <c r="N337" s="128">
        <f t="shared" si="20"/>
        <v>4</v>
      </c>
      <c r="O337" s="137">
        <v>1150000</v>
      </c>
      <c r="P337" s="129"/>
      <c r="Q337" s="129">
        <f>N337*O337*1.5</f>
        <v>6900000</v>
      </c>
      <c r="R337" s="129"/>
      <c r="S337" s="129"/>
      <c r="T337" s="260"/>
      <c r="U337" s="242"/>
    </row>
    <row r="338" spans="1:21" s="204" customFormat="1" ht="27" customHeight="1" hidden="1" outlineLevel="1">
      <c r="A338" s="274">
        <f>IF(B338&lt;&gt;"",SUBTOTAL(103,$D$7:$D338),"")</f>
      </c>
      <c r="B338" s="220">
        <f>IF(C338&lt;&gt;"",SUBTOTAL(103,$C$328:$C338),"")</f>
      </c>
      <c r="C338" s="245"/>
      <c r="D338" s="275"/>
      <c r="E338" s="43"/>
      <c r="F338" s="43"/>
      <c r="G338" s="43"/>
      <c r="H338" s="43"/>
      <c r="I338" s="43"/>
      <c r="J338" s="45"/>
      <c r="K338" s="128"/>
      <c r="L338" s="45">
        <v>42491</v>
      </c>
      <c r="M338" s="45">
        <v>42522</v>
      </c>
      <c r="N338" s="128">
        <f t="shared" si="20"/>
        <v>2</v>
      </c>
      <c r="O338" s="137">
        <v>1210000</v>
      </c>
      <c r="P338" s="129"/>
      <c r="Q338" s="129">
        <f>N338*O338*1.5</f>
        <v>3630000</v>
      </c>
      <c r="R338" s="129"/>
      <c r="S338" s="129"/>
      <c r="T338" s="260"/>
      <c r="U338" s="242"/>
    </row>
    <row r="339" spans="1:21" s="204" customFormat="1" ht="27" customHeight="1" collapsed="1">
      <c r="A339" s="274">
        <f>IF(B339&lt;&gt;"",SUBTOTAL(103,$D$7:$D339),"")</f>
        <v>165</v>
      </c>
      <c r="B339" s="220">
        <f>IF(C339&lt;&gt;"",SUBTOTAL(103,$C$328:$C339),"")</f>
        <v>8</v>
      </c>
      <c r="C339" s="221" t="s">
        <v>525</v>
      </c>
      <c r="D339" s="47" t="s">
        <v>526</v>
      </c>
      <c r="E339" s="42" t="s">
        <v>314</v>
      </c>
      <c r="F339" s="42" t="s">
        <v>527</v>
      </c>
      <c r="G339" s="42" t="s">
        <v>346</v>
      </c>
      <c r="H339" s="42" t="s">
        <v>333</v>
      </c>
      <c r="I339" s="42" t="s">
        <v>683</v>
      </c>
      <c r="J339" s="45">
        <v>41944</v>
      </c>
      <c r="K339" s="127">
        <v>14</v>
      </c>
      <c r="L339" s="45">
        <v>42370</v>
      </c>
      <c r="M339" s="45">
        <v>42522</v>
      </c>
      <c r="N339" s="128">
        <f t="shared" si="20"/>
        <v>6</v>
      </c>
      <c r="O339" s="137"/>
      <c r="P339" s="129">
        <f>Q339+R339+S339</f>
        <v>22530000</v>
      </c>
      <c r="Q339" s="129">
        <f>SUM(Q340:Q341)</f>
        <v>10530000</v>
      </c>
      <c r="R339" s="129">
        <f>6000000+6000000</f>
        <v>12000000</v>
      </c>
      <c r="S339" s="129">
        <v>0</v>
      </c>
      <c r="T339" s="258" t="s">
        <v>1209</v>
      </c>
      <c r="U339" s="222"/>
    </row>
    <row r="340" spans="1:21" s="204" customFormat="1" ht="27" customHeight="1" hidden="1" outlineLevel="1">
      <c r="A340" s="274">
        <f>IF(B340&lt;&gt;"",SUBTOTAL(103,$D$7:$D340),"")</f>
      </c>
      <c r="B340" s="220">
        <f>IF(C340&lt;&gt;"",SUBTOTAL(103,$C$328:$C340),"")</f>
      </c>
      <c r="C340" s="221"/>
      <c r="D340" s="47"/>
      <c r="E340" s="42"/>
      <c r="F340" s="42"/>
      <c r="G340" s="42"/>
      <c r="H340" s="42"/>
      <c r="I340" s="42"/>
      <c r="J340" s="45"/>
      <c r="K340" s="127"/>
      <c r="L340" s="45">
        <v>42370</v>
      </c>
      <c r="M340" s="45">
        <v>42461</v>
      </c>
      <c r="N340" s="128">
        <f t="shared" si="20"/>
        <v>4</v>
      </c>
      <c r="O340" s="137">
        <v>1150000</v>
      </c>
      <c r="P340" s="129"/>
      <c r="Q340" s="129">
        <f>N340*O340*1.5</f>
        <v>6900000</v>
      </c>
      <c r="R340" s="129"/>
      <c r="S340" s="129"/>
      <c r="T340" s="258"/>
      <c r="U340" s="222"/>
    </row>
    <row r="341" spans="1:21" s="204" customFormat="1" ht="27" customHeight="1" hidden="1" outlineLevel="1">
      <c r="A341" s="274">
        <f>IF(B341&lt;&gt;"",SUBTOTAL(103,$D$7:$D341),"")</f>
      </c>
      <c r="B341" s="220">
        <f>IF(C341&lt;&gt;"",SUBTOTAL(103,$C$328:$C341),"")</f>
      </c>
      <c r="C341" s="221"/>
      <c r="D341" s="47"/>
      <c r="E341" s="42"/>
      <c r="F341" s="42"/>
      <c r="G341" s="42"/>
      <c r="H341" s="42"/>
      <c r="I341" s="42"/>
      <c r="J341" s="45"/>
      <c r="K341" s="127"/>
      <c r="L341" s="45">
        <v>42491</v>
      </c>
      <c r="M341" s="45">
        <v>42522</v>
      </c>
      <c r="N341" s="128">
        <f t="shared" si="20"/>
        <v>2</v>
      </c>
      <c r="O341" s="137">
        <v>1210000</v>
      </c>
      <c r="P341" s="129"/>
      <c r="Q341" s="129">
        <f>N341*O341*1.5</f>
        <v>3630000</v>
      </c>
      <c r="R341" s="129"/>
      <c r="S341" s="129"/>
      <c r="T341" s="258"/>
      <c r="U341" s="222"/>
    </row>
    <row r="342" spans="1:21" s="204" customFormat="1" ht="27" customHeight="1" collapsed="1">
      <c r="A342" s="274">
        <f>IF(B342&lt;&gt;"",SUBTOTAL(103,$D$7:$D342),"")</f>
        <v>166</v>
      </c>
      <c r="B342" s="220">
        <f>IF(C342&lt;&gt;"",SUBTOTAL(103,$C$328:$C342),"")</f>
        <v>9</v>
      </c>
      <c r="C342" s="221" t="s">
        <v>1202</v>
      </c>
      <c r="D342" s="47" t="s">
        <v>1203</v>
      </c>
      <c r="E342" s="42" t="s">
        <v>1204</v>
      </c>
      <c r="F342" s="42" t="s">
        <v>1205</v>
      </c>
      <c r="G342" s="42" t="s">
        <v>346</v>
      </c>
      <c r="H342" s="42" t="s">
        <v>1206</v>
      </c>
      <c r="I342" s="42" t="s">
        <v>319</v>
      </c>
      <c r="J342" s="45">
        <v>42401</v>
      </c>
      <c r="K342" s="127">
        <v>0</v>
      </c>
      <c r="L342" s="45">
        <v>42401</v>
      </c>
      <c r="M342" s="45">
        <v>42705</v>
      </c>
      <c r="N342" s="128">
        <f t="shared" si="20"/>
        <v>11</v>
      </c>
      <c r="O342" s="137"/>
      <c r="P342" s="129">
        <f>Q342+R342+S342</f>
        <v>31179000</v>
      </c>
      <c r="Q342" s="129">
        <f>SUM(Q343:Q344)</f>
        <v>19695000</v>
      </c>
      <c r="R342" s="129">
        <v>11484000</v>
      </c>
      <c r="S342" s="129">
        <v>0</v>
      </c>
      <c r="T342" s="258" t="s">
        <v>1207</v>
      </c>
      <c r="U342" s="222"/>
    </row>
    <row r="343" spans="1:21" s="204" customFormat="1" ht="27" customHeight="1" hidden="1" outlineLevel="1">
      <c r="A343" s="274">
        <f>IF(B343&lt;&gt;"",SUBTOTAL(103,$D$7:$D343),"")</f>
      </c>
      <c r="B343" s="220">
        <f>IF(C343&lt;&gt;"",SUBTOTAL(103,$C$328:$C343),"")</f>
      </c>
      <c r="C343" s="221"/>
      <c r="D343" s="47"/>
      <c r="E343" s="42"/>
      <c r="F343" s="42"/>
      <c r="G343" s="42"/>
      <c r="H343" s="42"/>
      <c r="I343" s="42"/>
      <c r="J343" s="45"/>
      <c r="K343" s="127"/>
      <c r="L343" s="45">
        <v>42401</v>
      </c>
      <c r="M343" s="45">
        <v>42461</v>
      </c>
      <c r="N343" s="128">
        <f t="shared" si="20"/>
        <v>3</v>
      </c>
      <c r="O343" s="137">
        <v>1150000</v>
      </c>
      <c r="P343" s="129">
        <f>Q343+R343+S343</f>
        <v>5175000</v>
      </c>
      <c r="Q343" s="129">
        <f>N343*O343*1.5</f>
        <v>5175000</v>
      </c>
      <c r="R343" s="129"/>
      <c r="S343" s="129"/>
      <c r="T343" s="258"/>
      <c r="U343" s="222"/>
    </row>
    <row r="344" spans="1:21" s="204" customFormat="1" ht="27" customHeight="1" hidden="1" outlineLevel="1">
      <c r="A344" s="274">
        <f>IF(B344&lt;&gt;"",SUBTOTAL(103,$D$7:$D344),"")</f>
      </c>
      <c r="B344" s="220">
        <f>IF(C344&lt;&gt;"",SUBTOTAL(103,$C$328:$C344),"")</f>
      </c>
      <c r="C344" s="221"/>
      <c r="D344" s="47"/>
      <c r="E344" s="42"/>
      <c r="F344" s="42"/>
      <c r="G344" s="42"/>
      <c r="H344" s="42"/>
      <c r="I344" s="42"/>
      <c r="J344" s="45"/>
      <c r="K344" s="127"/>
      <c r="L344" s="45">
        <v>42491</v>
      </c>
      <c r="M344" s="45">
        <v>42705</v>
      </c>
      <c r="N344" s="128">
        <f t="shared" si="20"/>
        <v>8</v>
      </c>
      <c r="O344" s="137">
        <v>1210000</v>
      </c>
      <c r="P344" s="129">
        <f>Q344+R344+S344</f>
        <v>14520000</v>
      </c>
      <c r="Q344" s="129">
        <f>N344*O344*1.5</f>
        <v>14520000</v>
      </c>
      <c r="R344" s="129"/>
      <c r="S344" s="129"/>
      <c r="T344" s="258"/>
      <c r="U344" s="222"/>
    </row>
    <row r="345" spans="1:21" s="204" customFormat="1" ht="27" customHeight="1" collapsed="1">
      <c r="A345" s="274">
        <f>IF(B345&lt;&gt;"",SUBTOTAL(103,$D$7:$D345),"")</f>
        <v>167</v>
      </c>
      <c r="B345" s="274">
        <f>IF(C345&lt;&gt;"",SUBTOTAL(103,$C$328:$C345),"")</f>
        <v>10</v>
      </c>
      <c r="C345" s="245" t="s">
        <v>1213</v>
      </c>
      <c r="D345" s="275" t="s">
        <v>1215</v>
      </c>
      <c r="E345" s="43" t="s">
        <v>314</v>
      </c>
      <c r="F345" s="43" t="s">
        <v>1210</v>
      </c>
      <c r="G345" s="43" t="s">
        <v>341</v>
      </c>
      <c r="H345" s="43" t="s">
        <v>2168</v>
      </c>
      <c r="I345" s="43" t="s">
        <v>1212</v>
      </c>
      <c r="J345" s="45">
        <v>40452</v>
      </c>
      <c r="K345" s="56" t="s">
        <v>944</v>
      </c>
      <c r="L345" s="362" t="s">
        <v>46</v>
      </c>
      <c r="M345" s="363"/>
      <c r="N345" s="128"/>
      <c r="O345" s="129"/>
      <c r="P345" s="129">
        <f>Q345+R345+S345</f>
        <v>27075000</v>
      </c>
      <c r="Q345" s="129"/>
      <c r="R345" s="129">
        <f>1700000+6825000+18550000</f>
        <v>27075000</v>
      </c>
      <c r="S345" s="129">
        <v>0</v>
      </c>
      <c r="T345" s="256" t="s">
        <v>2057</v>
      </c>
      <c r="U345" s="242"/>
    </row>
    <row r="346" spans="1:21" s="204" customFormat="1" ht="27" customHeight="1">
      <c r="A346" s="274">
        <f>IF(B346&lt;&gt;"",SUBTOTAL(103,$D$7:$D346),"")</f>
        <v>168</v>
      </c>
      <c r="B346" s="220">
        <f>IF(C346&lt;&gt;"",SUBTOTAL(103,$C$328:$C346),"")</f>
        <v>11</v>
      </c>
      <c r="C346" s="221" t="s">
        <v>212</v>
      </c>
      <c r="D346" s="47" t="s">
        <v>1216</v>
      </c>
      <c r="E346" s="42" t="s">
        <v>1221</v>
      </c>
      <c r="F346" s="42" t="s">
        <v>1217</v>
      </c>
      <c r="G346" s="42" t="s">
        <v>1218</v>
      </c>
      <c r="H346" s="42" t="s">
        <v>310</v>
      </c>
      <c r="I346" s="42" t="s">
        <v>683</v>
      </c>
      <c r="J346" s="45">
        <v>42278</v>
      </c>
      <c r="K346" s="127" t="s">
        <v>1189</v>
      </c>
      <c r="L346" s="200">
        <v>42278</v>
      </c>
      <c r="M346" s="201">
        <v>42705</v>
      </c>
      <c r="N346" s="128">
        <f t="shared" si="20"/>
        <v>15</v>
      </c>
      <c r="O346" s="137"/>
      <c r="P346" s="129">
        <f>Q346+R346+S346</f>
        <v>67895000</v>
      </c>
      <c r="Q346" s="129">
        <f>SUM(Q347:Q348)</f>
        <v>26595000</v>
      </c>
      <c r="R346" s="129">
        <f>2*20000000+1300000</f>
        <v>41300000</v>
      </c>
      <c r="S346" s="129">
        <v>0</v>
      </c>
      <c r="T346" s="258" t="s">
        <v>1219</v>
      </c>
      <c r="U346" s="222"/>
    </row>
    <row r="347" spans="1:21" s="204" customFormat="1" ht="27" customHeight="1" hidden="1" outlineLevel="1">
      <c r="A347" s="274">
        <f>IF(B347&lt;&gt;"",SUBTOTAL(103,$D$7:$D347),"")</f>
      </c>
      <c r="B347" s="220">
        <f>IF(C347&lt;&gt;"",SUBTOTAL(103,$C$328:$C347),"")</f>
      </c>
      <c r="C347" s="221"/>
      <c r="D347" s="47"/>
      <c r="E347" s="42"/>
      <c r="F347" s="42"/>
      <c r="G347" s="42"/>
      <c r="H347" s="42"/>
      <c r="I347" s="42"/>
      <c r="J347" s="45"/>
      <c r="K347" s="127"/>
      <c r="L347" s="200">
        <v>42278</v>
      </c>
      <c r="M347" s="201">
        <v>42461</v>
      </c>
      <c r="N347" s="128">
        <f t="shared" si="20"/>
        <v>7</v>
      </c>
      <c r="O347" s="137">
        <v>1150000</v>
      </c>
      <c r="P347" s="129"/>
      <c r="Q347" s="129">
        <f>N347*O347*1.5</f>
        <v>12075000</v>
      </c>
      <c r="R347" s="129"/>
      <c r="S347" s="129"/>
      <c r="T347" s="258"/>
      <c r="U347" s="222"/>
    </row>
    <row r="348" spans="1:21" s="204" customFormat="1" ht="27" customHeight="1" hidden="1" outlineLevel="1">
      <c r="A348" s="274">
        <f>IF(B348&lt;&gt;"",SUBTOTAL(103,$D$7:$D348),"")</f>
      </c>
      <c r="B348" s="220">
        <f>IF(C348&lt;&gt;"",SUBTOTAL(103,$C$328:$C348),"")</f>
      </c>
      <c r="C348" s="221"/>
      <c r="D348" s="47"/>
      <c r="E348" s="42"/>
      <c r="F348" s="42"/>
      <c r="G348" s="42"/>
      <c r="H348" s="42"/>
      <c r="I348" s="42"/>
      <c r="J348" s="45"/>
      <c r="K348" s="127"/>
      <c r="L348" s="200">
        <v>42491</v>
      </c>
      <c r="M348" s="201">
        <v>42705</v>
      </c>
      <c r="N348" s="128">
        <f t="shared" si="20"/>
        <v>8</v>
      </c>
      <c r="O348" s="137">
        <v>1210000</v>
      </c>
      <c r="P348" s="129"/>
      <c r="Q348" s="129">
        <f>N348*O348*1.5</f>
        <v>14520000</v>
      </c>
      <c r="R348" s="129"/>
      <c r="S348" s="129"/>
      <c r="T348" s="258"/>
      <c r="U348" s="222"/>
    </row>
    <row r="349" spans="1:21" s="204" customFormat="1" ht="27" customHeight="1" collapsed="1">
      <c r="A349" s="274">
        <f>IF(B349&lt;&gt;"",SUBTOTAL(103,$D$7:$D349),"")</f>
        <v>169</v>
      </c>
      <c r="B349" s="220">
        <f>IF(C349&lt;&gt;"",SUBTOTAL(103,$C$328:$C349),"")</f>
        <v>12</v>
      </c>
      <c r="C349" s="221" t="s">
        <v>311</v>
      </c>
      <c r="D349" s="47" t="s">
        <v>1220</v>
      </c>
      <c r="E349" s="42" t="s">
        <v>1221</v>
      </c>
      <c r="F349" s="42" t="s">
        <v>1222</v>
      </c>
      <c r="G349" s="42" t="s">
        <v>346</v>
      </c>
      <c r="H349" s="42" t="s">
        <v>1157</v>
      </c>
      <c r="I349" s="42" t="s">
        <v>1038</v>
      </c>
      <c r="J349" s="45">
        <v>42278</v>
      </c>
      <c r="K349" s="127" t="s">
        <v>1189</v>
      </c>
      <c r="L349" s="45">
        <v>42278</v>
      </c>
      <c r="M349" s="201">
        <v>42705</v>
      </c>
      <c r="N349" s="128">
        <f t="shared" si="20"/>
        <v>15</v>
      </c>
      <c r="O349" s="137"/>
      <c r="P349" s="129">
        <f>Q349+R349+S349</f>
        <v>38595000</v>
      </c>
      <c r="Q349" s="129">
        <f>SUM(Q350:Q351)</f>
        <v>26595000</v>
      </c>
      <c r="R349" s="129">
        <v>12000000</v>
      </c>
      <c r="S349" s="129">
        <v>0</v>
      </c>
      <c r="T349" s="258" t="s">
        <v>1029</v>
      </c>
      <c r="U349" s="222"/>
    </row>
    <row r="350" spans="1:21" s="204" customFormat="1" ht="27" customHeight="1" hidden="1" outlineLevel="1">
      <c r="A350" s="274">
        <f>IF(B350&lt;&gt;"",SUBTOTAL(103,$D$7:$D350),"")</f>
      </c>
      <c r="B350" s="220">
        <f>IF(C350&lt;&gt;"",SUBTOTAL(103,$C$328:$C350),"")</f>
      </c>
      <c r="C350" s="221"/>
      <c r="D350" s="47"/>
      <c r="E350" s="42"/>
      <c r="F350" s="42"/>
      <c r="G350" s="42"/>
      <c r="H350" s="42"/>
      <c r="I350" s="42"/>
      <c r="J350" s="45"/>
      <c r="K350" s="127"/>
      <c r="L350" s="200">
        <v>42278</v>
      </c>
      <c r="M350" s="201">
        <v>42461</v>
      </c>
      <c r="N350" s="128">
        <f t="shared" si="20"/>
        <v>7</v>
      </c>
      <c r="O350" s="137">
        <v>1150000</v>
      </c>
      <c r="P350" s="129"/>
      <c r="Q350" s="129">
        <f>N350*O350*1.5</f>
        <v>12075000</v>
      </c>
      <c r="R350" s="129"/>
      <c r="S350" s="129"/>
      <c r="T350" s="258"/>
      <c r="U350" s="222"/>
    </row>
    <row r="351" spans="1:21" s="204" customFormat="1" ht="27" customHeight="1" hidden="1" outlineLevel="1">
      <c r="A351" s="274">
        <f>IF(B351&lt;&gt;"",SUBTOTAL(103,$D$7:$D351),"")</f>
      </c>
      <c r="B351" s="220">
        <f>IF(C351&lt;&gt;"",SUBTOTAL(103,$C$328:$C351),"")</f>
      </c>
      <c r="C351" s="221"/>
      <c r="D351" s="47"/>
      <c r="E351" s="42"/>
      <c r="F351" s="42"/>
      <c r="G351" s="42"/>
      <c r="H351" s="42"/>
      <c r="I351" s="42"/>
      <c r="J351" s="45"/>
      <c r="K351" s="127"/>
      <c r="L351" s="200">
        <v>42491</v>
      </c>
      <c r="M351" s="201">
        <v>42705</v>
      </c>
      <c r="N351" s="128">
        <f t="shared" si="20"/>
        <v>8</v>
      </c>
      <c r="O351" s="137">
        <v>1210000</v>
      </c>
      <c r="P351" s="129"/>
      <c r="Q351" s="129">
        <f>N351*O351*1.5</f>
        <v>14520000</v>
      </c>
      <c r="R351" s="129"/>
      <c r="S351" s="129"/>
      <c r="T351" s="258"/>
      <c r="U351" s="222"/>
    </row>
    <row r="352" spans="1:21" s="204" customFormat="1" ht="27" customHeight="1" collapsed="1">
      <c r="A352" s="274">
        <f>IF(B352&lt;&gt;"",SUBTOTAL(103,$D$7:$D352),"")</f>
        <v>170</v>
      </c>
      <c r="B352" s="220">
        <f>IF(C352&lt;&gt;"",SUBTOTAL(103,$C$328:$C352),"")</f>
        <v>13</v>
      </c>
      <c r="C352" s="245" t="s">
        <v>528</v>
      </c>
      <c r="D352" s="275" t="s">
        <v>529</v>
      </c>
      <c r="E352" s="43" t="s">
        <v>314</v>
      </c>
      <c r="F352" s="43" t="s">
        <v>530</v>
      </c>
      <c r="G352" s="43" t="s">
        <v>346</v>
      </c>
      <c r="H352" s="43" t="s">
        <v>376</v>
      </c>
      <c r="I352" s="43" t="s">
        <v>531</v>
      </c>
      <c r="J352" s="45">
        <v>41944</v>
      </c>
      <c r="K352" s="56">
        <v>14</v>
      </c>
      <c r="L352" s="45">
        <v>42370</v>
      </c>
      <c r="M352" s="45">
        <v>42522</v>
      </c>
      <c r="N352" s="128">
        <f t="shared" si="20"/>
        <v>6</v>
      </c>
      <c r="O352" s="129"/>
      <c r="P352" s="129">
        <f>Q352+R352+S352</f>
        <v>41530000</v>
      </c>
      <c r="Q352" s="129">
        <f>SUM(Q353:Q354)</f>
        <v>10530000</v>
      </c>
      <c r="R352" s="129">
        <f>10200000*2+10600000</f>
        <v>31000000</v>
      </c>
      <c r="S352" s="129">
        <v>0</v>
      </c>
      <c r="T352" s="256" t="s">
        <v>1223</v>
      </c>
      <c r="U352" s="242"/>
    </row>
    <row r="353" spans="1:21" s="204" customFormat="1" ht="27" customHeight="1" hidden="1" outlineLevel="1">
      <c r="A353" s="274">
        <f>IF(B353&lt;&gt;"",SUBTOTAL(103,$D$7:$D353),"")</f>
      </c>
      <c r="B353" s="220">
        <f>IF(C353&lt;&gt;"",SUBTOTAL(103,$C$328:$C353),"")</f>
      </c>
      <c r="C353" s="245"/>
      <c r="D353" s="275"/>
      <c r="E353" s="43"/>
      <c r="F353" s="43"/>
      <c r="G353" s="43"/>
      <c r="H353" s="43"/>
      <c r="I353" s="43"/>
      <c r="J353" s="45"/>
      <c r="K353" s="56"/>
      <c r="L353" s="45">
        <v>42370</v>
      </c>
      <c r="M353" s="45">
        <v>42461</v>
      </c>
      <c r="N353" s="128">
        <f t="shared" si="20"/>
        <v>4</v>
      </c>
      <c r="O353" s="129">
        <v>1150000</v>
      </c>
      <c r="P353" s="129"/>
      <c r="Q353" s="129">
        <f>N353*O353*1.5</f>
        <v>6900000</v>
      </c>
      <c r="R353" s="129"/>
      <c r="S353" s="129"/>
      <c r="T353" s="256"/>
      <c r="U353" s="242"/>
    </row>
    <row r="354" spans="1:21" s="204" customFormat="1" ht="27" customHeight="1" hidden="1" outlineLevel="1">
      <c r="A354" s="274">
        <f>IF(B354&lt;&gt;"",SUBTOTAL(103,$D$7:$D354),"")</f>
      </c>
      <c r="B354" s="220">
        <f>IF(C354&lt;&gt;"",SUBTOTAL(103,$C$328:$C354),"")</f>
      </c>
      <c r="C354" s="245"/>
      <c r="D354" s="275"/>
      <c r="E354" s="43"/>
      <c r="F354" s="43"/>
      <c r="G354" s="43"/>
      <c r="H354" s="43"/>
      <c r="I354" s="43"/>
      <c r="J354" s="45"/>
      <c r="K354" s="56"/>
      <c r="L354" s="45">
        <v>42491</v>
      </c>
      <c r="M354" s="45">
        <v>42522</v>
      </c>
      <c r="N354" s="128">
        <f t="shared" si="20"/>
        <v>2</v>
      </c>
      <c r="O354" s="129">
        <v>1210000</v>
      </c>
      <c r="P354" s="129"/>
      <c r="Q354" s="129">
        <f>N354*O354*1.5</f>
        <v>3630000</v>
      </c>
      <c r="R354" s="129"/>
      <c r="S354" s="129"/>
      <c r="T354" s="256"/>
      <c r="U354" s="242"/>
    </row>
    <row r="355" spans="1:21" s="273" customFormat="1" ht="27" customHeight="1" collapsed="1">
      <c r="A355" s="274">
        <f>IF(B355&lt;&gt;"",SUBTOTAL(103,$D$7:$D355),"")</f>
      </c>
      <c r="B355" s="213"/>
      <c r="C355" s="214" t="s">
        <v>488</v>
      </c>
      <c r="D355" s="218"/>
      <c r="E355" s="7"/>
      <c r="F355" s="7"/>
      <c r="G355" s="7"/>
      <c r="H355" s="7"/>
      <c r="I355" s="7"/>
      <c r="J355" s="136"/>
      <c r="K355" s="20"/>
      <c r="L355" s="21"/>
      <c r="M355" s="21"/>
      <c r="N355" s="22"/>
      <c r="O355" s="11"/>
      <c r="P355" s="12">
        <f>SUBTOTAL(109,P356:P368)</f>
        <v>452601500</v>
      </c>
      <c r="Q355" s="12">
        <f>SUBTOTAL(109,Q356:Q368)</f>
        <v>114961000</v>
      </c>
      <c r="R355" s="12">
        <f>SUBTOTAL(109,R356:R368)</f>
        <v>165140500</v>
      </c>
      <c r="S355" s="12">
        <f>SUBTOTAL(109,S356:S368)</f>
        <v>172500000</v>
      </c>
      <c r="T355" s="262"/>
      <c r="U355" s="216"/>
    </row>
    <row r="356" spans="1:21" s="204" customFormat="1" ht="27" customHeight="1">
      <c r="A356" s="274">
        <f>IF(B356&lt;&gt;"",SUBTOTAL(103,$D$7:$D356),"")</f>
        <v>171</v>
      </c>
      <c r="B356" s="220">
        <f>IF(C356&lt;&gt;"",SUBTOTAL(103,$C$356:$C356),"")</f>
        <v>1</v>
      </c>
      <c r="C356" s="245" t="s">
        <v>1230</v>
      </c>
      <c r="D356" s="275" t="s">
        <v>1231</v>
      </c>
      <c r="E356" s="43" t="s">
        <v>314</v>
      </c>
      <c r="F356" s="43" t="s">
        <v>1237</v>
      </c>
      <c r="G356" s="43" t="s">
        <v>341</v>
      </c>
      <c r="H356" s="43" t="s">
        <v>1232</v>
      </c>
      <c r="I356" s="43" t="s">
        <v>1233</v>
      </c>
      <c r="J356" s="45">
        <v>40603</v>
      </c>
      <c r="K356" s="128">
        <v>0</v>
      </c>
      <c r="L356" s="45">
        <v>40603</v>
      </c>
      <c r="M356" s="45">
        <v>41821</v>
      </c>
      <c r="N356" s="128">
        <f t="shared" si="20"/>
        <v>41</v>
      </c>
      <c r="O356" s="129">
        <f>22460*100</f>
        <v>2246000</v>
      </c>
      <c r="P356" s="129">
        <f>Q356+R356+S356</f>
        <v>92086000</v>
      </c>
      <c r="Q356" s="129">
        <f>N356*O356</f>
        <v>92086000</v>
      </c>
      <c r="R356" s="129">
        <v>0</v>
      </c>
      <c r="S356" s="129">
        <v>0</v>
      </c>
      <c r="T356" s="257" t="s">
        <v>2058</v>
      </c>
      <c r="U356" s="241">
        <v>42654</v>
      </c>
    </row>
    <row r="357" spans="1:21" s="204" customFormat="1" ht="27" customHeight="1">
      <c r="A357" s="274">
        <f>IF(B357&lt;&gt;"",SUBTOTAL(103,$D$7:$D357),"")</f>
        <v>172</v>
      </c>
      <c r="B357" s="220">
        <f>IF(C357&lt;&gt;"",SUBTOTAL(103,$C$356:$C357),"")</f>
        <v>2</v>
      </c>
      <c r="C357" s="221" t="s">
        <v>461</v>
      </c>
      <c r="D357" s="47" t="s">
        <v>462</v>
      </c>
      <c r="E357" s="42" t="s">
        <v>463</v>
      </c>
      <c r="F357" s="42" t="s">
        <v>464</v>
      </c>
      <c r="G357" s="42" t="s">
        <v>346</v>
      </c>
      <c r="H357" s="42" t="s">
        <v>465</v>
      </c>
      <c r="I357" s="42" t="s">
        <v>466</v>
      </c>
      <c r="J357" s="45">
        <v>41122</v>
      </c>
      <c r="K357" s="128">
        <v>20</v>
      </c>
      <c r="L357" s="362"/>
      <c r="M357" s="363"/>
      <c r="N357" s="101">
        <v>0</v>
      </c>
      <c r="O357" s="58">
        <v>1150000</v>
      </c>
      <c r="P357" s="129">
        <f aca="true" t="shared" si="21" ref="P357:P368">Q357+R357+S357</f>
        <v>133333000</v>
      </c>
      <c r="Q357" s="129">
        <f>N357*O357*1.5</f>
        <v>0</v>
      </c>
      <c r="R357" s="129">
        <f>42253000+88830000+2250000</f>
        <v>133333000</v>
      </c>
      <c r="S357" s="129">
        <v>0</v>
      </c>
      <c r="T357" s="264" t="s">
        <v>1531</v>
      </c>
      <c r="U357" s="240">
        <v>42654</v>
      </c>
    </row>
    <row r="358" spans="1:21" s="204" customFormat="1" ht="27" customHeight="1">
      <c r="A358" s="274">
        <f>IF(B358&lt;&gt;"",SUBTOTAL(103,$D$7:$D358),"")</f>
        <v>173</v>
      </c>
      <c r="B358" s="220">
        <f>IF(C358&lt;&gt;"",SUBTOTAL(103,$C$356:$C358),"")</f>
        <v>3</v>
      </c>
      <c r="C358" s="221" t="s">
        <v>1133</v>
      </c>
      <c r="D358" s="47" t="s">
        <v>1134</v>
      </c>
      <c r="E358" s="42" t="s">
        <v>1135</v>
      </c>
      <c r="F358" s="42" t="s">
        <v>1136</v>
      </c>
      <c r="G358" s="42" t="s">
        <v>341</v>
      </c>
      <c r="H358" s="42" t="s">
        <v>633</v>
      </c>
      <c r="I358" s="42" t="s">
        <v>254</v>
      </c>
      <c r="J358" s="45">
        <v>41365</v>
      </c>
      <c r="K358" s="128">
        <f>8+16</f>
        <v>24</v>
      </c>
      <c r="L358" s="45">
        <v>42370</v>
      </c>
      <c r="M358" s="45">
        <v>42522</v>
      </c>
      <c r="N358" s="128">
        <f>DATEDIF(L358,M358,"m")+1</f>
        <v>6</v>
      </c>
      <c r="O358" s="217"/>
      <c r="P358" s="129">
        <f t="shared" si="21"/>
        <v>10530000</v>
      </c>
      <c r="Q358" s="129">
        <f>SUM(Q359:Q360)</f>
        <v>10530000</v>
      </c>
      <c r="R358" s="129">
        <v>0</v>
      </c>
      <c r="S358" s="129">
        <v>0</v>
      </c>
      <c r="T358" s="255"/>
      <c r="U358" s="240">
        <v>42654</v>
      </c>
    </row>
    <row r="359" spans="1:21" s="204" customFormat="1" ht="27" customHeight="1" hidden="1" outlineLevel="1">
      <c r="A359" s="274">
        <f>IF(B359&lt;&gt;"",SUBTOTAL(103,$D$7:$D359),"")</f>
      </c>
      <c r="B359" s="220">
        <f>IF(C359&lt;&gt;"",SUBTOTAL(103,$C$356:$C359),"")</f>
      </c>
      <c r="C359" s="221"/>
      <c r="D359" s="47"/>
      <c r="E359" s="42"/>
      <c r="F359" s="42"/>
      <c r="G359" s="42"/>
      <c r="H359" s="42"/>
      <c r="I359" s="42"/>
      <c r="J359" s="45"/>
      <c r="K359" s="128"/>
      <c r="L359" s="200">
        <v>42370</v>
      </c>
      <c r="M359" s="201">
        <v>42461</v>
      </c>
      <c r="N359" s="128">
        <f>DATEDIF(L359,M359,"m")+1</f>
        <v>4</v>
      </c>
      <c r="O359" s="58">
        <v>1150000</v>
      </c>
      <c r="P359" s="129">
        <f>Q359+R359+S359</f>
        <v>6900000</v>
      </c>
      <c r="Q359" s="129">
        <f aca="true" t="shared" si="22" ref="Q359:Q364">N359*O359*1.5</f>
        <v>6900000</v>
      </c>
      <c r="R359" s="129"/>
      <c r="S359" s="129"/>
      <c r="T359" s="255"/>
      <c r="U359" s="222"/>
    </row>
    <row r="360" spans="1:21" s="204" customFormat="1" ht="27" customHeight="1" hidden="1" outlineLevel="1">
      <c r="A360" s="274">
        <f>IF(B360&lt;&gt;"",SUBTOTAL(103,$D$7:$D360),"")</f>
      </c>
      <c r="B360" s="220">
        <f>IF(C360&lt;&gt;"",SUBTOTAL(103,$C$356:$C360),"")</f>
      </c>
      <c r="C360" s="221"/>
      <c r="D360" s="47"/>
      <c r="E360" s="42"/>
      <c r="F360" s="42"/>
      <c r="G360" s="42"/>
      <c r="H360" s="42"/>
      <c r="I360" s="42"/>
      <c r="J360" s="45"/>
      <c r="K360" s="128"/>
      <c r="L360" s="200">
        <v>42491</v>
      </c>
      <c r="M360" s="201">
        <v>42522</v>
      </c>
      <c r="N360" s="128">
        <f>DATEDIF(L360,M360,"m")+1</f>
        <v>2</v>
      </c>
      <c r="O360" s="58">
        <v>1210000</v>
      </c>
      <c r="P360" s="129">
        <f>Q360+R360+S360</f>
        <v>3630000</v>
      </c>
      <c r="Q360" s="129">
        <f t="shared" si="22"/>
        <v>3630000</v>
      </c>
      <c r="R360" s="129"/>
      <c r="S360" s="129"/>
      <c r="T360" s="255"/>
      <c r="U360" s="222"/>
    </row>
    <row r="361" spans="1:21" s="204" customFormat="1" ht="27" customHeight="1" collapsed="1">
      <c r="A361" s="274">
        <f>IF(B361&lt;&gt;"",SUBTOTAL(103,$D$7:$D361),"")</f>
        <v>174</v>
      </c>
      <c r="B361" s="220">
        <f>IF(C361&lt;&gt;"",SUBTOTAL(103,$C$356:$C361),"")</f>
        <v>4</v>
      </c>
      <c r="C361" s="221" t="s">
        <v>393</v>
      </c>
      <c r="D361" s="47" t="s">
        <v>394</v>
      </c>
      <c r="E361" s="42" t="s">
        <v>395</v>
      </c>
      <c r="F361" s="42" t="s">
        <v>396</v>
      </c>
      <c r="G361" s="42" t="s">
        <v>346</v>
      </c>
      <c r="H361" s="42" t="s">
        <v>633</v>
      </c>
      <c r="I361" s="42" t="s">
        <v>1169</v>
      </c>
      <c r="J361" s="45">
        <v>41487</v>
      </c>
      <c r="K361" s="127">
        <v>20</v>
      </c>
      <c r="L361" s="362" t="s">
        <v>46</v>
      </c>
      <c r="M361" s="363"/>
      <c r="N361" s="101">
        <v>0</v>
      </c>
      <c r="O361" s="58">
        <v>1150000</v>
      </c>
      <c r="P361" s="129">
        <f t="shared" si="21"/>
        <v>42000000</v>
      </c>
      <c r="Q361" s="129">
        <f t="shared" si="22"/>
        <v>0</v>
      </c>
      <c r="R361" s="129">
        <v>7500000</v>
      </c>
      <c r="S361" s="129">
        <f>30*O361</f>
        <v>34500000</v>
      </c>
      <c r="T361" s="258" t="s">
        <v>2059</v>
      </c>
      <c r="U361" s="222"/>
    </row>
    <row r="362" spans="1:21" s="204" customFormat="1" ht="27" customHeight="1">
      <c r="A362" s="274">
        <f>IF(B362&lt;&gt;"",SUBTOTAL(103,$D$7:$D362),"")</f>
        <v>175</v>
      </c>
      <c r="B362" s="220">
        <f>IF(C362&lt;&gt;"",SUBTOTAL(103,$C$356:$C362),"")</f>
        <v>5</v>
      </c>
      <c r="C362" s="221" t="s">
        <v>397</v>
      </c>
      <c r="D362" s="47" t="s">
        <v>398</v>
      </c>
      <c r="E362" s="42" t="s">
        <v>314</v>
      </c>
      <c r="F362" s="42" t="s">
        <v>399</v>
      </c>
      <c r="G362" s="42" t="s">
        <v>346</v>
      </c>
      <c r="H362" s="42" t="s">
        <v>400</v>
      </c>
      <c r="I362" s="42" t="s">
        <v>685</v>
      </c>
      <c r="J362" s="45">
        <v>41487</v>
      </c>
      <c r="K362" s="127">
        <v>20</v>
      </c>
      <c r="L362" s="362" t="s">
        <v>46</v>
      </c>
      <c r="M362" s="363"/>
      <c r="N362" s="101">
        <v>0</v>
      </c>
      <c r="O362" s="58">
        <v>1150000</v>
      </c>
      <c r="P362" s="129">
        <f t="shared" si="21"/>
        <v>44187500</v>
      </c>
      <c r="Q362" s="129">
        <f t="shared" si="22"/>
        <v>0</v>
      </c>
      <c r="R362" s="129">
        <v>9687500</v>
      </c>
      <c r="S362" s="129">
        <f>30*O362</f>
        <v>34500000</v>
      </c>
      <c r="T362" s="258" t="s">
        <v>2060</v>
      </c>
      <c r="U362" s="222"/>
    </row>
    <row r="363" spans="1:21" s="204" customFormat="1" ht="27" customHeight="1">
      <c r="A363" s="274">
        <f>IF(B363&lt;&gt;"",SUBTOTAL(103,$D$7:$D363),"")</f>
        <v>176</v>
      </c>
      <c r="B363" s="220">
        <f>IF(C363&lt;&gt;"",SUBTOTAL(103,$C$356:$C363),"")</f>
        <v>6</v>
      </c>
      <c r="C363" s="221" t="s">
        <v>408</v>
      </c>
      <c r="D363" s="47" t="s">
        <v>409</v>
      </c>
      <c r="E363" s="42" t="s">
        <v>410</v>
      </c>
      <c r="F363" s="42" t="s">
        <v>411</v>
      </c>
      <c r="G363" s="42" t="s">
        <v>346</v>
      </c>
      <c r="H363" s="42" t="s">
        <v>633</v>
      </c>
      <c r="I363" s="42" t="s">
        <v>1169</v>
      </c>
      <c r="J363" s="45">
        <v>41487</v>
      </c>
      <c r="K363" s="127">
        <v>20</v>
      </c>
      <c r="L363" s="362" t="s">
        <v>46</v>
      </c>
      <c r="M363" s="363"/>
      <c r="N363" s="101">
        <v>0</v>
      </c>
      <c r="O363" s="58">
        <v>1150000</v>
      </c>
      <c r="P363" s="129">
        <f t="shared" si="21"/>
        <v>42000000</v>
      </c>
      <c r="Q363" s="129">
        <f t="shared" si="22"/>
        <v>0</v>
      </c>
      <c r="R363" s="129">
        <v>7500000</v>
      </c>
      <c r="S363" s="129">
        <f>30*O363</f>
        <v>34500000</v>
      </c>
      <c r="T363" s="258" t="s">
        <v>2061</v>
      </c>
      <c r="U363" s="222"/>
    </row>
    <row r="364" spans="1:21" s="204" customFormat="1" ht="27" customHeight="1">
      <c r="A364" s="274">
        <f>IF(B364&lt;&gt;"",SUBTOTAL(103,$D$7:$D364),"")</f>
        <v>177</v>
      </c>
      <c r="B364" s="220">
        <f>IF(C364&lt;&gt;"",SUBTOTAL(103,$C$356:$C364),"")</f>
        <v>7</v>
      </c>
      <c r="C364" s="221" t="s">
        <v>412</v>
      </c>
      <c r="D364" s="47" t="s">
        <v>413</v>
      </c>
      <c r="E364" s="42" t="s">
        <v>314</v>
      </c>
      <c r="F364" s="42" t="s">
        <v>414</v>
      </c>
      <c r="G364" s="42" t="s">
        <v>346</v>
      </c>
      <c r="H364" s="42" t="s">
        <v>2169</v>
      </c>
      <c r="I364" s="42" t="s">
        <v>415</v>
      </c>
      <c r="J364" s="45">
        <v>41456</v>
      </c>
      <c r="K364" s="127">
        <v>20</v>
      </c>
      <c r="L364" s="362" t="s">
        <v>46</v>
      </c>
      <c r="M364" s="363"/>
      <c r="N364" s="101">
        <v>0</v>
      </c>
      <c r="O364" s="58">
        <v>1150000</v>
      </c>
      <c r="P364" s="129">
        <f t="shared" si="21"/>
        <v>34500000</v>
      </c>
      <c r="Q364" s="129">
        <f t="shared" si="22"/>
        <v>0</v>
      </c>
      <c r="R364" s="129">
        <v>0</v>
      </c>
      <c r="S364" s="129">
        <f>30*O364</f>
        <v>34500000</v>
      </c>
      <c r="T364" s="258" t="s">
        <v>2062</v>
      </c>
      <c r="U364" s="240">
        <v>42654</v>
      </c>
    </row>
    <row r="365" spans="1:21" s="204" customFormat="1" ht="27" customHeight="1">
      <c r="A365" s="274">
        <f>IF(B365&lt;&gt;"",SUBTOTAL(103,$D$7:$D365),"")</f>
        <v>178</v>
      </c>
      <c r="B365" s="220">
        <f>IF(C365&lt;&gt;"",SUBTOTAL(103,$C$356:$C365),"")</f>
        <v>8</v>
      </c>
      <c r="C365" s="221" t="s">
        <v>416</v>
      </c>
      <c r="D365" s="47" t="s">
        <v>417</v>
      </c>
      <c r="E365" s="42" t="s">
        <v>314</v>
      </c>
      <c r="F365" s="42" t="s">
        <v>418</v>
      </c>
      <c r="G365" s="42" t="s">
        <v>341</v>
      </c>
      <c r="H365" s="42" t="s">
        <v>599</v>
      </c>
      <c r="I365" s="42" t="s">
        <v>319</v>
      </c>
      <c r="J365" s="45">
        <v>41395</v>
      </c>
      <c r="K365" s="128">
        <f>7+16</f>
        <v>23</v>
      </c>
      <c r="L365" s="45">
        <v>42370</v>
      </c>
      <c r="M365" s="45">
        <v>42552</v>
      </c>
      <c r="N365" s="128">
        <f>DATEDIF(L365,M365,"m")+1</f>
        <v>7</v>
      </c>
      <c r="O365" s="129"/>
      <c r="P365" s="129">
        <f t="shared" si="21"/>
        <v>12345000</v>
      </c>
      <c r="Q365" s="129">
        <f>SUM(Q366:Q367)</f>
        <v>12345000</v>
      </c>
      <c r="R365" s="129">
        <v>0</v>
      </c>
      <c r="S365" s="129">
        <v>0</v>
      </c>
      <c r="T365" s="255"/>
      <c r="U365" s="240">
        <v>42654</v>
      </c>
    </row>
    <row r="366" spans="1:21" s="204" customFormat="1" ht="27" customHeight="1" hidden="1" outlineLevel="1">
      <c r="A366" s="274">
        <f>IF(B366&lt;&gt;"",SUBTOTAL(103,$D$7:$D366),"")</f>
      </c>
      <c r="B366" s="220">
        <f>IF(C366&lt;&gt;"",SUBTOTAL(103,$C$356:$C366),"")</f>
      </c>
      <c r="C366" s="221"/>
      <c r="D366" s="47"/>
      <c r="E366" s="42"/>
      <c r="F366" s="42"/>
      <c r="G366" s="42"/>
      <c r="H366" s="42"/>
      <c r="I366" s="42"/>
      <c r="J366" s="45"/>
      <c r="K366" s="128"/>
      <c r="L366" s="45">
        <v>42370</v>
      </c>
      <c r="M366" s="45">
        <v>42461</v>
      </c>
      <c r="N366" s="128">
        <f>DATEDIF(L366,M366,"m")+1</f>
        <v>4</v>
      </c>
      <c r="O366" s="129">
        <v>1150000</v>
      </c>
      <c r="P366" s="129">
        <f>Q366+R366+S366</f>
        <v>6900000</v>
      </c>
      <c r="Q366" s="129">
        <f>N366*O366*1.5</f>
        <v>6900000</v>
      </c>
      <c r="R366" s="129"/>
      <c r="S366" s="129"/>
      <c r="T366" s="255"/>
      <c r="U366" s="222"/>
    </row>
    <row r="367" spans="1:21" s="204" customFormat="1" ht="27" customHeight="1" hidden="1" outlineLevel="1">
      <c r="A367" s="274">
        <f>IF(B367&lt;&gt;"",SUBTOTAL(103,$D$7:$D367),"")</f>
      </c>
      <c r="B367" s="220">
        <f>IF(C367&lt;&gt;"",SUBTOTAL(103,$C$356:$C367),"")</f>
      </c>
      <c r="C367" s="221"/>
      <c r="D367" s="47"/>
      <c r="E367" s="42"/>
      <c r="F367" s="42"/>
      <c r="G367" s="42"/>
      <c r="H367" s="42"/>
      <c r="I367" s="42"/>
      <c r="J367" s="45"/>
      <c r="K367" s="128"/>
      <c r="L367" s="45">
        <v>42491</v>
      </c>
      <c r="M367" s="45">
        <v>42552</v>
      </c>
      <c r="N367" s="128">
        <f>DATEDIF(L367,M367,"m")+1</f>
        <v>3</v>
      </c>
      <c r="O367" s="129">
        <v>1210000</v>
      </c>
      <c r="P367" s="129">
        <f>Q367+R367+S367</f>
        <v>5445000</v>
      </c>
      <c r="Q367" s="129">
        <f>N367*O367*1.5</f>
        <v>5445000</v>
      </c>
      <c r="R367" s="129"/>
      <c r="S367" s="129"/>
      <c r="T367" s="255"/>
      <c r="U367" s="222"/>
    </row>
    <row r="368" spans="1:21" s="204" customFormat="1" ht="27" customHeight="1" collapsed="1">
      <c r="A368" s="274">
        <f>IF(B368&lt;&gt;"",SUBTOTAL(103,$D$7:$D368),"")</f>
        <v>179</v>
      </c>
      <c r="B368" s="220">
        <f>IF(C368&lt;&gt;"",SUBTOTAL(103,$C$356:$C368),"")</f>
        <v>9</v>
      </c>
      <c r="C368" s="221" t="s">
        <v>167</v>
      </c>
      <c r="D368" s="47" t="s">
        <v>168</v>
      </c>
      <c r="E368" s="42" t="s">
        <v>169</v>
      </c>
      <c r="F368" s="42" t="s">
        <v>170</v>
      </c>
      <c r="G368" s="42" t="s">
        <v>346</v>
      </c>
      <c r="H368" s="42" t="s">
        <v>1146</v>
      </c>
      <c r="I368" s="42" t="s">
        <v>171</v>
      </c>
      <c r="J368" s="45">
        <v>41640</v>
      </c>
      <c r="K368" s="128">
        <v>20</v>
      </c>
      <c r="L368" s="362" t="s">
        <v>46</v>
      </c>
      <c r="M368" s="363"/>
      <c r="N368" s="128">
        <v>0</v>
      </c>
      <c r="O368" s="129">
        <v>1150000</v>
      </c>
      <c r="P368" s="129">
        <f t="shared" si="21"/>
        <v>41620000</v>
      </c>
      <c r="Q368" s="129">
        <f>N368*O368*1.5</f>
        <v>0</v>
      </c>
      <c r="R368" s="129">
        <v>7120000</v>
      </c>
      <c r="S368" s="129">
        <f>30*O368</f>
        <v>34500000</v>
      </c>
      <c r="T368" s="264" t="s">
        <v>2063</v>
      </c>
      <c r="U368" s="240">
        <v>42654</v>
      </c>
    </row>
    <row r="369" spans="1:21" s="273" customFormat="1" ht="27" customHeight="1">
      <c r="A369" s="274">
        <f>IF(B369&lt;&gt;"",SUBTOTAL(103,$D$7:$D369),"")</f>
      </c>
      <c r="B369" s="213"/>
      <c r="C369" s="214" t="s">
        <v>672</v>
      </c>
      <c r="D369" s="218"/>
      <c r="E369" s="7"/>
      <c r="F369" s="7"/>
      <c r="G369" s="7"/>
      <c r="H369" s="7"/>
      <c r="I369" s="7"/>
      <c r="J369" s="136"/>
      <c r="K369" s="20"/>
      <c r="L369" s="21"/>
      <c r="M369" s="21"/>
      <c r="N369" s="22"/>
      <c r="O369" s="11"/>
      <c r="P369" s="12">
        <f>SUBTOTAL(109,P370:P383)</f>
        <v>523109000</v>
      </c>
      <c r="Q369" s="12">
        <f>SUBTOTAL(109,Q370:Q383)</f>
        <v>106230000</v>
      </c>
      <c r="R369" s="12">
        <f>SUBTOTAL(109,R370:R383)</f>
        <v>111279000</v>
      </c>
      <c r="S369" s="12">
        <f>SUBTOTAL(109,S370:S383)</f>
        <v>305600000</v>
      </c>
      <c r="T369" s="262"/>
      <c r="U369" s="216"/>
    </row>
    <row r="370" spans="1:21" s="204" customFormat="1" ht="27" customHeight="1">
      <c r="A370" s="274">
        <f>IF(B370&lt;&gt;"",SUBTOTAL(103,$D$7:$D370),"")</f>
        <v>180</v>
      </c>
      <c r="B370" s="220">
        <f>IF(C370&lt;&gt;"",SUBTOTAL(103,$C$370:$C370),"")</f>
        <v>1</v>
      </c>
      <c r="C370" s="245" t="s">
        <v>429</v>
      </c>
      <c r="D370" s="275" t="s">
        <v>430</v>
      </c>
      <c r="E370" s="43" t="s">
        <v>314</v>
      </c>
      <c r="F370" s="43" t="s">
        <v>431</v>
      </c>
      <c r="G370" s="43" t="s">
        <v>341</v>
      </c>
      <c r="H370" s="43" t="s">
        <v>432</v>
      </c>
      <c r="I370" s="43" t="s">
        <v>1158</v>
      </c>
      <c r="J370" s="45">
        <v>41426</v>
      </c>
      <c r="K370" s="128">
        <v>22</v>
      </c>
      <c r="L370" s="45">
        <v>42370</v>
      </c>
      <c r="M370" s="45">
        <v>42583</v>
      </c>
      <c r="N370" s="128">
        <f>DATEDIF(L370,M370,"m")+1</f>
        <v>8</v>
      </c>
      <c r="O370" s="129"/>
      <c r="P370" s="129">
        <f aca="true" t="shared" si="23" ref="P370:P383">Q370+R370+S370</f>
        <v>30160000</v>
      </c>
      <c r="Q370" s="129">
        <f>SUM(Q371:Q372)</f>
        <v>14160000</v>
      </c>
      <c r="R370" s="129">
        <v>16000000</v>
      </c>
      <c r="S370" s="129"/>
      <c r="T370" s="257" t="s">
        <v>1229</v>
      </c>
      <c r="U370" s="242"/>
    </row>
    <row r="371" spans="1:21" s="204" customFormat="1" ht="27" customHeight="1" hidden="1" outlineLevel="1">
      <c r="A371" s="274">
        <f>IF(B371&lt;&gt;"",SUBTOTAL(103,$D$7:$D371),"")</f>
      </c>
      <c r="B371" s="220">
        <f>IF(C371&lt;&gt;"",SUBTOTAL(103,$C$370:$C371),"")</f>
      </c>
      <c r="C371" s="245"/>
      <c r="D371" s="275"/>
      <c r="E371" s="43"/>
      <c r="F371" s="43"/>
      <c r="G371" s="43"/>
      <c r="H371" s="43"/>
      <c r="I371" s="43"/>
      <c r="J371" s="45"/>
      <c r="K371" s="128"/>
      <c r="L371" s="45">
        <v>42370</v>
      </c>
      <c r="M371" s="45">
        <v>42461</v>
      </c>
      <c r="N371" s="128">
        <f>DATEDIF(L371,M371,"m")+1</f>
        <v>4</v>
      </c>
      <c r="O371" s="137">
        <v>1150000</v>
      </c>
      <c r="P371" s="129"/>
      <c r="Q371" s="129">
        <f aca="true" t="shared" si="24" ref="Q371:Q376">O371*N371*1.5</f>
        <v>6900000</v>
      </c>
      <c r="R371" s="129"/>
      <c r="S371" s="129"/>
      <c r="T371" s="257"/>
      <c r="U371" s="242"/>
    </row>
    <row r="372" spans="1:21" s="204" customFormat="1" ht="27" customHeight="1" hidden="1" outlineLevel="1">
      <c r="A372" s="274">
        <f>IF(B372&lt;&gt;"",SUBTOTAL(103,$D$7:$D372),"")</f>
      </c>
      <c r="B372" s="220">
        <f>IF(C372&lt;&gt;"",SUBTOTAL(103,$C$370:$C372),"")</f>
      </c>
      <c r="C372" s="245"/>
      <c r="D372" s="275"/>
      <c r="E372" s="43"/>
      <c r="F372" s="43"/>
      <c r="G372" s="43"/>
      <c r="H372" s="43"/>
      <c r="I372" s="43"/>
      <c r="J372" s="45"/>
      <c r="K372" s="128"/>
      <c r="L372" s="45">
        <v>42491</v>
      </c>
      <c r="M372" s="45">
        <v>42583</v>
      </c>
      <c r="N372" s="128">
        <f>DATEDIF(L372,M372,"m")+1</f>
        <v>4</v>
      </c>
      <c r="O372" s="137">
        <v>1210000</v>
      </c>
      <c r="P372" s="129"/>
      <c r="Q372" s="129">
        <f t="shared" si="24"/>
        <v>7260000</v>
      </c>
      <c r="R372" s="129"/>
      <c r="S372" s="129"/>
      <c r="T372" s="257"/>
      <c r="U372" s="242"/>
    </row>
    <row r="373" spans="1:21" s="204" customFormat="1" ht="27" customHeight="1" collapsed="1">
      <c r="A373" s="274">
        <f>IF(B373&lt;&gt;"",SUBTOTAL(103,$D$7:$D373),"")</f>
        <v>181</v>
      </c>
      <c r="B373" s="220">
        <f>IF(C373&lt;&gt;"",SUBTOTAL(103,$C$370:$C373),"")</f>
        <v>2</v>
      </c>
      <c r="C373" s="221" t="s">
        <v>286</v>
      </c>
      <c r="D373" s="47" t="s">
        <v>287</v>
      </c>
      <c r="E373" s="48" t="s">
        <v>314</v>
      </c>
      <c r="F373" s="42" t="s">
        <v>288</v>
      </c>
      <c r="G373" s="42" t="s">
        <v>346</v>
      </c>
      <c r="H373" s="42" t="s">
        <v>215</v>
      </c>
      <c r="I373" s="42" t="s">
        <v>251</v>
      </c>
      <c r="J373" s="45">
        <v>41122</v>
      </c>
      <c r="K373" s="127">
        <v>20</v>
      </c>
      <c r="L373" s="362" t="s">
        <v>46</v>
      </c>
      <c r="M373" s="363"/>
      <c r="N373" s="101">
        <v>0</v>
      </c>
      <c r="O373" s="129">
        <v>1150000</v>
      </c>
      <c r="P373" s="129">
        <f t="shared" si="23"/>
        <v>34500000</v>
      </c>
      <c r="Q373" s="129">
        <f t="shared" si="24"/>
        <v>0</v>
      </c>
      <c r="R373" s="129">
        <v>0</v>
      </c>
      <c r="S373" s="137">
        <f>O373*30</f>
        <v>34500000</v>
      </c>
      <c r="T373" s="258" t="s">
        <v>2064</v>
      </c>
      <c r="U373" s="222"/>
    </row>
    <row r="374" spans="1:21" s="204" customFormat="1" ht="27" customHeight="1">
      <c r="A374" s="274">
        <f>IF(B374&lt;&gt;"",SUBTOTAL(103,$D$7:$D374),"")</f>
        <v>182</v>
      </c>
      <c r="B374" s="220">
        <f>IF(C374&lt;&gt;"",SUBTOTAL(103,$C$370:$C374),"")</f>
        <v>3</v>
      </c>
      <c r="C374" s="245" t="s">
        <v>98</v>
      </c>
      <c r="D374" s="275" t="s">
        <v>19</v>
      </c>
      <c r="E374" s="48" t="s">
        <v>314</v>
      </c>
      <c r="F374" s="42" t="s">
        <v>20</v>
      </c>
      <c r="G374" s="42" t="s">
        <v>346</v>
      </c>
      <c r="H374" s="42" t="s">
        <v>21</v>
      </c>
      <c r="I374" s="42" t="s">
        <v>751</v>
      </c>
      <c r="J374" s="45">
        <v>41609</v>
      </c>
      <c r="K374" s="56">
        <v>20</v>
      </c>
      <c r="L374" s="362" t="s">
        <v>46</v>
      </c>
      <c r="M374" s="363"/>
      <c r="N374" s="56">
        <v>0</v>
      </c>
      <c r="O374" s="58">
        <v>1150000</v>
      </c>
      <c r="P374" s="129">
        <f t="shared" si="23"/>
        <v>42750000</v>
      </c>
      <c r="Q374" s="129">
        <f t="shared" si="24"/>
        <v>0</v>
      </c>
      <c r="R374" s="129">
        <v>8250000</v>
      </c>
      <c r="S374" s="137">
        <f>O374*30</f>
        <v>34500000</v>
      </c>
      <c r="T374" s="256" t="s">
        <v>2065</v>
      </c>
      <c r="U374" s="247"/>
    </row>
    <row r="375" spans="1:21" s="204" customFormat="1" ht="27" customHeight="1">
      <c r="A375" s="274">
        <f>IF(B375&lt;&gt;"",SUBTOTAL(103,$D$7:$D375),"")</f>
        <v>183</v>
      </c>
      <c r="B375" s="220">
        <f>IF(C375&lt;&gt;"",SUBTOTAL(103,$C$370:$C375),"")</f>
        <v>4</v>
      </c>
      <c r="C375" s="245" t="s">
        <v>103</v>
      </c>
      <c r="D375" s="275" t="s">
        <v>17</v>
      </c>
      <c r="E375" s="48" t="s">
        <v>787</v>
      </c>
      <c r="F375" s="42" t="s">
        <v>18</v>
      </c>
      <c r="G375" s="42" t="s">
        <v>346</v>
      </c>
      <c r="H375" s="42" t="s">
        <v>788</v>
      </c>
      <c r="I375" s="42" t="s">
        <v>270</v>
      </c>
      <c r="J375" s="45">
        <v>41609</v>
      </c>
      <c r="K375" s="56">
        <v>20</v>
      </c>
      <c r="L375" s="362" t="s">
        <v>46</v>
      </c>
      <c r="M375" s="363"/>
      <c r="N375" s="56">
        <v>0</v>
      </c>
      <c r="O375" s="58">
        <v>1150000</v>
      </c>
      <c r="P375" s="129">
        <f t="shared" si="23"/>
        <v>34500000</v>
      </c>
      <c r="Q375" s="129">
        <f t="shared" si="24"/>
        <v>0</v>
      </c>
      <c r="R375" s="129">
        <v>0</v>
      </c>
      <c r="S375" s="129">
        <f>O375*30</f>
        <v>34500000</v>
      </c>
      <c r="T375" s="258" t="s">
        <v>2066</v>
      </c>
      <c r="U375" s="247"/>
    </row>
    <row r="376" spans="1:21" s="204" customFormat="1" ht="27" customHeight="1">
      <c r="A376" s="274">
        <f>IF(B376&lt;&gt;"",SUBTOTAL(103,$D$7:$D376),"")</f>
        <v>184</v>
      </c>
      <c r="B376" s="220">
        <f>IF(C376&lt;&gt;"",SUBTOTAL(103,$C$370:$C376),"")</f>
        <v>5</v>
      </c>
      <c r="C376" s="245" t="s">
        <v>102</v>
      </c>
      <c r="D376" s="275" t="s">
        <v>790</v>
      </c>
      <c r="E376" s="48" t="s">
        <v>314</v>
      </c>
      <c r="F376" s="42" t="s">
        <v>22</v>
      </c>
      <c r="G376" s="42" t="s">
        <v>346</v>
      </c>
      <c r="H376" s="42" t="s">
        <v>210</v>
      </c>
      <c r="I376" s="42" t="s">
        <v>23</v>
      </c>
      <c r="J376" s="45">
        <v>41609</v>
      </c>
      <c r="K376" s="56">
        <v>20</v>
      </c>
      <c r="L376" s="362" t="s">
        <v>46</v>
      </c>
      <c r="M376" s="363"/>
      <c r="N376" s="56">
        <v>0</v>
      </c>
      <c r="O376" s="58">
        <v>1210000</v>
      </c>
      <c r="P376" s="129">
        <f t="shared" si="23"/>
        <v>44550000</v>
      </c>
      <c r="Q376" s="129">
        <f t="shared" si="24"/>
        <v>0</v>
      </c>
      <c r="R376" s="129">
        <v>8250000</v>
      </c>
      <c r="S376" s="129">
        <f>30*O376</f>
        <v>36300000</v>
      </c>
      <c r="T376" s="256" t="s">
        <v>2067</v>
      </c>
      <c r="U376" s="247"/>
    </row>
    <row r="377" spans="1:21" s="204" customFormat="1" ht="27" customHeight="1">
      <c r="A377" s="274">
        <f>IF(B377&lt;&gt;"",SUBTOTAL(103,$D$7:$D377),"")</f>
        <v>185</v>
      </c>
      <c r="B377" s="220">
        <f>IF(C377&lt;&gt;"",SUBTOTAL(103,$C$370:$C377),"")</f>
        <v>6</v>
      </c>
      <c r="C377" s="245" t="s">
        <v>1281</v>
      </c>
      <c r="D377" s="275" t="s">
        <v>1303</v>
      </c>
      <c r="E377" s="48" t="s">
        <v>314</v>
      </c>
      <c r="F377" s="42" t="s">
        <v>1304</v>
      </c>
      <c r="G377" s="42" t="s">
        <v>341</v>
      </c>
      <c r="H377" s="42" t="s">
        <v>1305</v>
      </c>
      <c r="I377" s="42" t="s">
        <v>1306</v>
      </c>
      <c r="J377" s="45">
        <v>41518</v>
      </c>
      <c r="K377" s="56">
        <v>0</v>
      </c>
      <c r="L377" s="45">
        <v>41518</v>
      </c>
      <c r="M377" s="45">
        <v>42552</v>
      </c>
      <c r="N377" s="128">
        <f>DATEDIF(L377,M377,"m")+1</f>
        <v>35</v>
      </c>
      <c r="O377" s="58">
        <f>100*22260</f>
        <v>2226000</v>
      </c>
      <c r="P377" s="129">
        <f t="shared" si="23"/>
        <v>77910000</v>
      </c>
      <c r="Q377" s="129">
        <f>O377*N377</f>
        <v>77910000</v>
      </c>
      <c r="R377" s="129">
        <v>0</v>
      </c>
      <c r="S377" s="129">
        <v>0</v>
      </c>
      <c r="T377" s="256" t="s">
        <v>1307</v>
      </c>
      <c r="U377" s="247"/>
    </row>
    <row r="378" spans="1:21" s="204" customFormat="1" ht="27" customHeight="1">
      <c r="A378" s="274">
        <f>IF(B378&lt;&gt;"",SUBTOTAL(103,$D$7:$D378),"")</f>
        <v>186</v>
      </c>
      <c r="B378" s="220">
        <f>IF(C378&lt;&gt;"",SUBTOTAL(103,$C$370:$C378),"")</f>
        <v>7</v>
      </c>
      <c r="C378" s="245" t="s">
        <v>721</v>
      </c>
      <c r="D378" s="275" t="s">
        <v>24</v>
      </c>
      <c r="E378" s="48" t="s">
        <v>314</v>
      </c>
      <c r="F378" s="42" t="s">
        <v>25</v>
      </c>
      <c r="G378" s="42" t="s">
        <v>346</v>
      </c>
      <c r="H378" s="42" t="s">
        <v>633</v>
      </c>
      <c r="I378" s="42" t="s">
        <v>26</v>
      </c>
      <c r="J378" s="45">
        <v>41609</v>
      </c>
      <c r="K378" s="56">
        <v>20</v>
      </c>
      <c r="L378" s="362" t="s">
        <v>46</v>
      </c>
      <c r="M378" s="363"/>
      <c r="N378" s="56">
        <v>0</v>
      </c>
      <c r="O378" s="58">
        <v>1150000</v>
      </c>
      <c r="P378" s="129">
        <f t="shared" si="23"/>
        <v>44760000</v>
      </c>
      <c r="Q378" s="129">
        <f>O378*N378*1.5</f>
        <v>0</v>
      </c>
      <c r="R378" s="129">
        <f>5400000+4860000</f>
        <v>10260000</v>
      </c>
      <c r="S378" s="129">
        <f>30*O378</f>
        <v>34500000</v>
      </c>
      <c r="T378" s="256" t="s">
        <v>2068</v>
      </c>
      <c r="U378" s="247"/>
    </row>
    <row r="379" spans="1:21" s="204" customFormat="1" ht="27" customHeight="1">
      <c r="A379" s="274">
        <f>IF(B379&lt;&gt;"",SUBTOTAL(103,$D$7:$D379),"")</f>
        <v>187</v>
      </c>
      <c r="B379" s="220">
        <f>IF(C379&lt;&gt;"",SUBTOTAL(103,$C$370:$C379),"")</f>
        <v>8</v>
      </c>
      <c r="C379" s="245" t="s">
        <v>1224</v>
      </c>
      <c r="D379" s="300" t="s">
        <v>1225</v>
      </c>
      <c r="E379" s="248" t="s">
        <v>314</v>
      </c>
      <c r="F379" s="248" t="s">
        <v>1226</v>
      </c>
      <c r="G379" s="248" t="s">
        <v>341</v>
      </c>
      <c r="H379" s="248" t="s">
        <v>1227</v>
      </c>
      <c r="I379" s="248" t="s">
        <v>1228</v>
      </c>
      <c r="J379" s="287">
        <v>40148</v>
      </c>
      <c r="K379" s="301">
        <v>30</v>
      </c>
      <c r="L379" s="367" t="s">
        <v>46</v>
      </c>
      <c r="M379" s="368"/>
      <c r="N379" s="56">
        <v>0</v>
      </c>
      <c r="O379" s="58">
        <v>1210000</v>
      </c>
      <c r="P379" s="129">
        <f t="shared" si="23"/>
        <v>137843000</v>
      </c>
      <c r="Q379" s="129">
        <v>0</v>
      </c>
      <c r="R379" s="129">
        <f>15833000+25210000</f>
        <v>41043000</v>
      </c>
      <c r="S379" s="129">
        <f>80*O379</f>
        <v>96800000</v>
      </c>
      <c r="T379" s="256" t="s">
        <v>2069</v>
      </c>
      <c r="U379" s="242"/>
    </row>
    <row r="380" spans="1:21" s="204" customFormat="1" ht="27" customHeight="1">
      <c r="A380" s="274">
        <f>IF(B380&lt;&gt;"",SUBTOTAL(103,$D$7:$D380),"")</f>
        <v>188</v>
      </c>
      <c r="B380" s="220">
        <f>IF(C380&lt;&gt;"",SUBTOTAL(103,$C$370:$C380),"")</f>
        <v>9</v>
      </c>
      <c r="C380" s="221" t="s">
        <v>433</v>
      </c>
      <c r="D380" s="47" t="s">
        <v>434</v>
      </c>
      <c r="E380" s="42" t="s">
        <v>314</v>
      </c>
      <c r="F380" s="42" t="s">
        <v>435</v>
      </c>
      <c r="G380" s="42" t="s">
        <v>341</v>
      </c>
      <c r="H380" s="42" t="s">
        <v>436</v>
      </c>
      <c r="I380" s="42" t="s">
        <v>1158</v>
      </c>
      <c r="J380" s="45">
        <v>41426</v>
      </c>
      <c r="K380" s="128">
        <f>6+16</f>
        <v>22</v>
      </c>
      <c r="L380" s="45">
        <v>42370</v>
      </c>
      <c r="M380" s="45">
        <v>42583</v>
      </c>
      <c r="N380" s="128">
        <f>30-K380</f>
        <v>8</v>
      </c>
      <c r="O380" s="129"/>
      <c r="P380" s="129">
        <f t="shared" si="23"/>
        <v>31336000</v>
      </c>
      <c r="Q380" s="129">
        <f>SUM(Q381:Q382)</f>
        <v>14160000</v>
      </c>
      <c r="R380" s="129">
        <f>16000000+1176000</f>
        <v>17176000</v>
      </c>
      <c r="S380" s="129">
        <v>0</v>
      </c>
      <c r="T380" s="255" t="s">
        <v>1969</v>
      </c>
      <c r="U380" s="240">
        <v>42664</v>
      </c>
    </row>
    <row r="381" spans="1:21" s="276" customFormat="1" ht="27" customHeight="1" hidden="1" outlineLevel="1">
      <c r="A381" s="274">
        <f>IF(B381&lt;&gt;"",SUBTOTAL(103,$D$7:$D381),"")</f>
      </c>
      <c r="B381" s="220">
        <f>IF(C381&lt;&gt;"",SUBTOTAL(103,$C$370:$C381),"")</f>
      </c>
      <c r="C381" s="221"/>
      <c r="D381" s="47"/>
      <c r="E381" s="42"/>
      <c r="F381" s="42"/>
      <c r="G381" s="42"/>
      <c r="H381" s="42"/>
      <c r="I381" s="42"/>
      <c r="J381" s="45"/>
      <c r="K381" s="128"/>
      <c r="L381" s="45">
        <v>42370</v>
      </c>
      <c r="M381" s="45">
        <v>42461</v>
      </c>
      <c r="N381" s="128">
        <f>DATEDIF(L381,M381,"m")+1</f>
        <v>4</v>
      </c>
      <c r="O381" s="58">
        <v>1150000</v>
      </c>
      <c r="P381" s="129">
        <f t="shared" si="23"/>
        <v>6900000</v>
      </c>
      <c r="Q381" s="129">
        <f>O381*N381*1.5</f>
        <v>6900000</v>
      </c>
      <c r="R381" s="129">
        <v>0</v>
      </c>
      <c r="S381" s="129"/>
      <c r="T381" s="255"/>
      <c r="U381" s="222"/>
    </row>
    <row r="382" spans="1:21" s="276" customFormat="1" ht="27" customHeight="1" hidden="1" outlineLevel="1">
      <c r="A382" s="274">
        <f>IF(B382&lt;&gt;"",SUBTOTAL(103,$D$7:$D382),"")</f>
      </c>
      <c r="B382" s="220">
        <f>IF(C382&lt;&gt;"",SUBTOTAL(103,$C$370:$C382),"")</f>
      </c>
      <c r="C382" s="221"/>
      <c r="D382" s="47"/>
      <c r="E382" s="42"/>
      <c r="F382" s="42"/>
      <c r="G382" s="42"/>
      <c r="H382" s="42"/>
      <c r="I382" s="42"/>
      <c r="J382" s="45"/>
      <c r="K382" s="128"/>
      <c r="L382" s="45">
        <v>42491</v>
      </c>
      <c r="M382" s="45">
        <v>42583</v>
      </c>
      <c r="N382" s="128">
        <f>DATEDIF(L382,M382,"m")+1</f>
        <v>4</v>
      </c>
      <c r="O382" s="58">
        <v>1210000</v>
      </c>
      <c r="P382" s="129">
        <f t="shared" si="23"/>
        <v>7260000</v>
      </c>
      <c r="Q382" s="129">
        <f>O382*N382*1.5</f>
        <v>7260000</v>
      </c>
      <c r="R382" s="129">
        <v>0</v>
      </c>
      <c r="S382" s="129">
        <v>0</v>
      </c>
      <c r="T382" s="255"/>
      <c r="U382" s="222"/>
    </row>
    <row r="383" spans="1:21" s="204" customFormat="1" ht="27" customHeight="1" collapsed="1">
      <c r="A383" s="274">
        <f>IF(B383&lt;&gt;"",SUBTOTAL(103,$D$7:$D383),"")</f>
        <v>189</v>
      </c>
      <c r="B383" s="220">
        <f>IF(C383&lt;&gt;"",SUBTOTAL(103,$C$370:$C383),"")</f>
        <v>10</v>
      </c>
      <c r="C383" s="221" t="s">
        <v>722</v>
      </c>
      <c r="D383" s="47" t="s">
        <v>858</v>
      </c>
      <c r="E383" s="42" t="s">
        <v>859</v>
      </c>
      <c r="F383" s="42" t="s">
        <v>860</v>
      </c>
      <c r="G383" s="42" t="s">
        <v>346</v>
      </c>
      <c r="H383" s="42" t="s">
        <v>1132</v>
      </c>
      <c r="I383" s="42" t="s">
        <v>786</v>
      </c>
      <c r="J383" s="45">
        <v>41791</v>
      </c>
      <c r="K383" s="128">
        <v>20</v>
      </c>
      <c r="L383" s="45" t="s">
        <v>46</v>
      </c>
      <c r="M383" s="45"/>
      <c r="N383" s="128">
        <v>0</v>
      </c>
      <c r="O383" s="129">
        <v>1150000</v>
      </c>
      <c r="P383" s="129">
        <f t="shared" si="23"/>
        <v>44800000</v>
      </c>
      <c r="Q383" s="129">
        <f>O383*N383*1.5</f>
        <v>0</v>
      </c>
      <c r="R383" s="129">
        <f>5150000*2</f>
        <v>10300000</v>
      </c>
      <c r="S383" s="129">
        <f>30*O383</f>
        <v>34500000</v>
      </c>
      <c r="T383" s="255" t="s">
        <v>2041</v>
      </c>
      <c r="U383" s="240">
        <v>42664</v>
      </c>
    </row>
    <row r="384" spans="1:21" s="273" customFormat="1" ht="27" customHeight="1">
      <c r="A384" s="274">
        <f>IF(B384&lt;&gt;"",SUBTOTAL(103,$D$7:$D384),"")</f>
      </c>
      <c r="B384" s="213"/>
      <c r="C384" s="214" t="s">
        <v>423</v>
      </c>
      <c r="D384" s="218"/>
      <c r="E384" s="7"/>
      <c r="F384" s="7"/>
      <c r="G384" s="7"/>
      <c r="H384" s="7"/>
      <c r="I384" s="7"/>
      <c r="J384" s="136"/>
      <c r="K384" s="20"/>
      <c r="L384" s="21"/>
      <c r="M384" s="21"/>
      <c r="N384" s="22"/>
      <c r="O384" s="11"/>
      <c r="P384" s="12">
        <f>SUBTOTAL(109,P385:P402)</f>
        <v>246810000</v>
      </c>
      <c r="Q384" s="12">
        <f>SUBTOTAL(109,Q385:Q402)</f>
        <v>141510000</v>
      </c>
      <c r="R384" s="12">
        <f>SUBTOTAL(109,R385:R402)</f>
        <v>0</v>
      </c>
      <c r="S384" s="12">
        <f>SUBTOTAL(109,S385:S402)</f>
        <v>105300000</v>
      </c>
      <c r="T384" s="140"/>
      <c r="U384" s="216"/>
    </row>
    <row r="385" spans="1:21" s="204" customFormat="1" ht="27" customHeight="1">
      <c r="A385" s="274">
        <f>IF(B385&lt;&gt;"",SUBTOTAL(103,$D$7:$D385),"")</f>
        <v>190</v>
      </c>
      <c r="B385" s="274">
        <f>IF(C385&lt;&gt;"",SUBTOTAL(103,$C$385:$C385),"")</f>
        <v>1</v>
      </c>
      <c r="C385" s="221" t="s">
        <v>489</v>
      </c>
      <c r="D385" s="47" t="s">
        <v>490</v>
      </c>
      <c r="E385" s="42" t="s">
        <v>492</v>
      </c>
      <c r="F385" s="42" t="s">
        <v>493</v>
      </c>
      <c r="G385" s="42" t="s">
        <v>346</v>
      </c>
      <c r="H385" s="42" t="s">
        <v>494</v>
      </c>
      <c r="I385" s="42" t="s">
        <v>495</v>
      </c>
      <c r="J385" s="45">
        <v>42005</v>
      </c>
      <c r="K385" s="127">
        <v>10</v>
      </c>
      <c r="L385" s="45">
        <v>42370</v>
      </c>
      <c r="M385" s="45">
        <v>42644</v>
      </c>
      <c r="N385" s="128">
        <f>DATEDIF(L385,M385,"m")+1</f>
        <v>10</v>
      </c>
      <c r="O385" s="137">
        <v>1210000</v>
      </c>
      <c r="P385" s="129">
        <f>Q385+S385+R385</f>
        <v>54090000</v>
      </c>
      <c r="Q385" s="129">
        <f>SUM(Q386:Q387)</f>
        <v>17790000</v>
      </c>
      <c r="R385" s="217">
        <v>0</v>
      </c>
      <c r="S385" s="129">
        <f>30*O385</f>
        <v>36300000</v>
      </c>
      <c r="T385" s="258" t="s">
        <v>2070</v>
      </c>
      <c r="U385" s="240">
        <v>42661</v>
      </c>
    </row>
    <row r="386" spans="1:21" s="204" customFormat="1" ht="27" customHeight="1" hidden="1" outlineLevel="1">
      <c r="A386" s="274">
        <f>IF(B386&lt;&gt;"",SUBTOTAL(103,$D$7:$D386),"")</f>
      </c>
      <c r="B386" s="274">
        <f>IF(C386&lt;&gt;"",SUBTOTAL(103,$C$385:$C386),"")</f>
      </c>
      <c r="C386" s="221"/>
      <c r="D386" s="47"/>
      <c r="E386" s="42"/>
      <c r="F386" s="42"/>
      <c r="G386" s="42"/>
      <c r="H386" s="42"/>
      <c r="I386" s="42"/>
      <c r="J386" s="45"/>
      <c r="K386" s="127"/>
      <c r="L386" s="45">
        <v>42370</v>
      </c>
      <c r="M386" s="45">
        <v>42461</v>
      </c>
      <c r="N386" s="128">
        <f>DATEDIF(L386,M386,"m")+1</f>
        <v>4</v>
      </c>
      <c r="O386" s="137">
        <v>1150000</v>
      </c>
      <c r="P386" s="129"/>
      <c r="Q386" s="129">
        <f>N386*O386*1.5</f>
        <v>6900000</v>
      </c>
      <c r="R386" s="129"/>
      <c r="S386" s="129"/>
      <c r="T386" s="258"/>
      <c r="U386" s="222"/>
    </row>
    <row r="387" spans="1:21" s="204" customFormat="1" ht="27" customHeight="1" hidden="1" outlineLevel="1">
      <c r="A387" s="274">
        <f>IF(B387&lt;&gt;"",SUBTOTAL(103,$D$7:$D387),"")</f>
      </c>
      <c r="B387" s="274">
        <f>IF(C387&lt;&gt;"",SUBTOTAL(103,$C$385:$C387),"")</f>
      </c>
      <c r="C387" s="221"/>
      <c r="D387" s="47"/>
      <c r="E387" s="42"/>
      <c r="F387" s="42"/>
      <c r="G387" s="42"/>
      <c r="H387" s="42"/>
      <c r="I387" s="42"/>
      <c r="J387" s="45"/>
      <c r="K387" s="127"/>
      <c r="L387" s="45">
        <v>42491</v>
      </c>
      <c r="M387" s="45">
        <v>42644</v>
      </c>
      <c r="N387" s="128">
        <f>DATEDIF(L387,M387,"m")+1</f>
        <v>6</v>
      </c>
      <c r="O387" s="137">
        <v>1210000</v>
      </c>
      <c r="P387" s="129"/>
      <c r="Q387" s="129">
        <f>N387*O387*1.5</f>
        <v>10890000</v>
      </c>
      <c r="R387" s="129"/>
      <c r="S387" s="129"/>
      <c r="T387" s="258"/>
      <c r="U387" s="222"/>
    </row>
    <row r="388" spans="1:21" s="204" customFormat="1" ht="27" customHeight="1" collapsed="1">
      <c r="A388" s="274">
        <f>IF(B388&lt;&gt;"",SUBTOTAL(103,$D$7:$D388),"")</f>
        <v>191</v>
      </c>
      <c r="B388" s="274">
        <f>IF(C388&lt;&gt;"",SUBTOTAL(103,$C$385:$C388),"")</f>
        <v>2</v>
      </c>
      <c r="C388" s="221" t="s">
        <v>821</v>
      </c>
      <c r="D388" s="47" t="s">
        <v>822</v>
      </c>
      <c r="E388" s="42" t="s">
        <v>314</v>
      </c>
      <c r="F388" s="42" t="s">
        <v>823</v>
      </c>
      <c r="G388" s="42" t="s">
        <v>346</v>
      </c>
      <c r="H388" s="42" t="s">
        <v>824</v>
      </c>
      <c r="I388" s="42" t="s">
        <v>825</v>
      </c>
      <c r="J388" s="45">
        <v>41640</v>
      </c>
      <c r="K388" s="128">
        <v>20</v>
      </c>
      <c r="L388" s="362" t="s">
        <v>46</v>
      </c>
      <c r="M388" s="363"/>
      <c r="N388" s="128">
        <v>0</v>
      </c>
      <c r="O388" s="129">
        <v>1150000</v>
      </c>
      <c r="P388" s="129">
        <f aca="true" t="shared" si="25" ref="P388:P402">Q388+R388+S388</f>
        <v>34500000</v>
      </c>
      <c r="Q388" s="129">
        <f>N388*O388*1.5</f>
        <v>0</v>
      </c>
      <c r="R388" s="129">
        <v>0</v>
      </c>
      <c r="S388" s="129">
        <f>30*O388</f>
        <v>34500000</v>
      </c>
      <c r="T388" s="255" t="s">
        <v>2071</v>
      </c>
      <c r="U388" s="240">
        <v>42661</v>
      </c>
    </row>
    <row r="389" spans="1:21" s="204" customFormat="1" ht="27" customHeight="1">
      <c r="A389" s="274">
        <f>IF(B389&lt;&gt;"",SUBTOTAL(103,$D$7:$D389),"")</f>
        <v>192</v>
      </c>
      <c r="B389" s="274">
        <f>IF(C389&lt;&gt;"",SUBTOTAL(103,$C$385:$C389),"")</f>
        <v>3</v>
      </c>
      <c r="C389" s="221" t="s">
        <v>833</v>
      </c>
      <c r="D389" s="47" t="s">
        <v>834</v>
      </c>
      <c r="E389" s="42" t="s">
        <v>314</v>
      </c>
      <c r="F389" s="42" t="s">
        <v>835</v>
      </c>
      <c r="G389" s="42" t="s">
        <v>346</v>
      </c>
      <c r="H389" s="42" t="s">
        <v>824</v>
      </c>
      <c r="I389" s="42" t="s">
        <v>825</v>
      </c>
      <c r="J389" s="45">
        <v>41640</v>
      </c>
      <c r="K389" s="128">
        <v>20</v>
      </c>
      <c r="L389" s="362" t="s">
        <v>46</v>
      </c>
      <c r="M389" s="363"/>
      <c r="N389" s="128">
        <v>0</v>
      </c>
      <c r="O389" s="129">
        <v>1150000</v>
      </c>
      <c r="P389" s="129">
        <f t="shared" si="25"/>
        <v>34500000</v>
      </c>
      <c r="Q389" s="129">
        <f>N389*O389*1.5</f>
        <v>0</v>
      </c>
      <c r="R389" s="129">
        <v>0</v>
      </c>
      <c r="S389" s="129">
        <f>30*O389</f>
        <v>34500000</v>
      </c>
      <c r="T389" s="255" t="s">
        <v>2072</v>
      </c>
      <c r="U389" s="240">
        <v>42661</v>
      </c>
    </row>
    <row r="390" spans="1:21" s="204" customFormat="1" ht="27" customHeight="1">
      <c r="A390" s="274">
        <f>IF(B390&lt;&gt;"",SUBTOTAL(103,$D$7:$D390),"")</f>
        <v>193</v>
      </c>
      <c r="B390" s="274">
        <f>IF(C390&lt;&gt;"",SUBTOTAL(103,$C$385:$C390),"")</f>
        <v>4</v>
      </c>
      <c r="C390" s="221" t="s">
        <v>1734</v>
      </c>
      <c r="D390" s="47" t="s">
        <v>1735</v>
      </c>
      <c r="E390" s="42" t="s">
        <v>314</v>
      </c>
      <c r="F390" s="42" t="s">
        <v>1736</v>
      </c>
      <c r="G390" s="42" t="s">
        <v>341</v>
      </c>
      <c r="H390" s="42" t="s">
        <v>1737</v>
      </c>
      <c r="I390" s="42" t="s">
        <v>1738</v>
      </c>
      <c r="J390" s="45">
        <v>42217</v>
      </c>
      <c r="K390" s="128">
        <v>0</v>
      </c>
      <c r="L390" s="45">
        <v>42217</v>
      </c>
      <c r="M390" s="45">
        <v>42705</v>
      </c>
      <c r="N390" s="128">
        <f aca="true" t="shared" si="26" ref="N390:N402">DATEDIF(L390,M390,"m")+1</f>
        <v>17</v>
      </c>
      <c r="O390" s="222"/>
      <c r="P390" s="129">
        <f t="shared" si="25"/>
        <v>30045000</v>
      </c>
      <c r="Q390" s="129">
        <f>SUM(Q391:Q392)</f>
        <v>30045000</v>
      </c>
      <c r="R390" s="129">
        <v>0</v>
      </c>
      <c r="S390" s="129">
        <v>0</v>
      </c>
      <c r="T390" s="255" t="s">
        <v>356</v>
      </c>
      <c r="U390" s="240">
        <v>42661</v>
      </c>
    </row>
    <row r="391" spans="1:21" s="204" customFormat="1" ht="27" customHeight="1" hidden="1" outlineLevel="1">
      <c r="A391" s="274">
        <f>IF(B391&lt;&gt;"",SUBTOTAL(103,$D$7:$D391),"")</f>
      </c>
      <c r="B391" s="274">
        <f>IF(C391&lt;&gt;"",SUBTOTAL(103,$C$385:$C391),"")</f>
      </c>
      <c r="C391" s="221"/>
      <c r="D391" s="47"/>
      <c r="E391" s="42"/>
      <c r="F391" s="42"/>
      <c r="G391" s="42"/>
      <c r="H391" s="42"/>
      <c r="I391" s="42"/>
      <c r="J391" s="45"/>
      <c r="K391" s="128"/>
      <c r="L391" s="45">
        <v>42217</v>
      </c>
      <c r="M391" s="45">
        <v>42461</v>
      </c>
      <c r="N391" s="128">
        <f t="shared" si="26"/>
        <v>9</v>
      </c>
      <c r="O391" s="137">
        <v>1150000</v>
      </c>
      <c r="P391" s="129">
        <f t="shared" si="25"/>
        <v>15525000</v>
      </c>
      <c r="Q391" s="129">
        <f>N391*O391*1.5</f>
        <v>15525000</v>
      </c>
      <c r="R391" s="129">
        <v>0</v>
      </c>
      <c r="S391" s="129"/>
      <c r="T391" s="255"/>
      <c r="U391" s="240"/>
    </row>
    <row r="392" spans="1:21" s="204" customFormat="1" ht="27" customHeight="1" hidden="1" outlineLevel="1">
      <c r="A392" s="274">
        <f>IF(B392&lt;&gt;"",SUBTOTAL(103,$D$7:$D392),"")</f>
      </c>
      <c r="B392" s="274">
        <f>IF(C392&lt;&gt;"",SUBTOTAL(103,$C$385:$C392),"")</f>
      </c>
      <c r="C392" s="221"/>
      <c r="D392" s="47"/>
      <c r="E392" s="42"/>
      <c r="F392" s="42"/>
      <c r="G392" s="42"/>
      <c r="H392" s="42"/>
      <c r="I392" s="42"/>
      <c r="J392" s="45"/>
      <c r="K392" s="128"/>
      <c r="L392" s="45">
        <v>42491</v>
      </c>
      <c r="M392" s="45">
        <v>42705</v>
      </c>
      <c r="N392" s="128">
        <f t="shared" si="26"/>
        <v>8</v>
      </c>
      <c r="O392" s="137">
        <v>1210000</v>
      </c>
      <c r="P392" s="129">
        <f t="shared" si="25"/>
        <v>14520000</v>
      </c>
      <c r="Q392" s="129">
        <f>N392*O392*1.5</f>
        <v>14520000</v>
      </c>
      <c r="R392" s="129">
        <v>0</v>
      </c>
      <c r="S392" s="129"/>
      <c r="T392" s="255"/>
      <c r="U392" s="240"/>
    </row>
    <row r="393" spans="1:21" s="204" customFormat="1" ht="27" customHeight="1" collapsed="1">
      <c r="A393" s="274">
        <f>IF(B393&lt;&gt;"",SUBTOTAL(103,$D$7:$D393),"")</f>
        <v>194</v>
      </c>
      <c r="B393" s="274">
        <f>IF(C393&lt;&gt;"",SUBTOTAL(103,$C$385:$C393),"")</f>
        <v>5</v>
      </c>
      <c r="C393" s="221" t="s">
        <v>1739</v>
      </c>
      <c r="D393" s="47" t="s">
        <v>1740</v>
      </c>
      <c r="E393" s="42" t="s">
        <v>633</v>
      </c>
      <c r="F393" s="42" t="s">
        <v>1741</v>
      </c>
      <c r="G393" s="42" t="s">
        <v>1198</v>
      </c>
      <c r="H393" s="42" t="s">
        <v>1137</v>
      </c>
      <c r="I393" s="42" t="s">
        <v>1742</v>
      </c>
      <c r="J393" s="45">
        <v>42005</v>
      </c>
      <c r="K393" s="128">
        <v>0</v>
      </c>
      <c r="L393" s="45">
        <v>42005</v>
      </c>
      <c r="M393" s="45">
        <v>42583</v>
      </c>
      <c r="N393" s="128">
        <f t="shared" si="26"/>
        <v>20</v>
      </c>
      <c r="O393" s="222"/>
      <c r="P393" s="129">
        <f t="shared" si="25"/>
        <v>34860000</v>
      </c>
      <c r="Q393" s="129">
        <f>SUM(Q394:Q395)</f>
        <v>34860000</v>
      </c>
      <c r="R393" s="129">
        <v>0</v>
      </c>
      <c r="S393" s="129">
        <v>0</v>
      </c>
      <c r="T393" s="255" t="s">
        <v>356</v>
      </c>
      <c r="U393" s="240">
        <v>42661</v>
      </c>
    </row>
    <row r="394" spans="1:21" s="204" customFormat="1" ht="27" customHeight="1" hidden="1" outlineLevel="1">
      <c r="A394" s="274">
        <f>IF(B394&lt;&gt;"",SUBTOTAL(103,$D$7:$D394),"")</f>
      </c>
      <c r="B394" s="274">
        <f>IF(C394&lt;&gt;"",SUBTOTAL(103,$C$385:$C394),"")</f>
      </c>
      <c r="C394" s="221"/>
      <c r="D394" s="47"/>
      <c r="E394" s="42"/>
      <c r="F394" s="42"/>
      <c r="G394" s="42"/>
      <c r="H394" s="42"/>
      <c r="I394" s="42"/>
      <c r="J394" s="45"/>
      <c r="K394" s="128"/>
      <c r="L394" s="45">
        <v>42005</v>
      </c>
      <c r="M394" s="45">
        <v>42461</v>
      </c>
      <c r="N394" s="128">
        <f t="shared" si="26"/>
        <v>16</v>
      </c>
      <c r="O394" s="137">
        <v>1150000</v>
      </c>
      <c r="P394" s="129">
        <f t="shared" si="25"/>
        <v>27600000</v>
      </c>
      <c r="Q394" s="129">
        <f>N394*O394*1.5</f>
        <v>27600000</v>
      </c>
      <c r="R394" s="129">
        <v>0</v>
      </c>
      <c r="S394" s="129"/>
      <c r="T394" s="255"/>
      <c r="U394" s="240"/>
    </row>
    <row r="395" spans="1:21" s="204" customFormat="1" ht="27" customHeight="1" hidden="1" outlineLevel="1">
      <c r="A395" s="274">
        <f>IF(B395&lt;&gt;"",SUBTOTAL(103,$D$7:$D395),"")</f>
      </c>
      <c r="B395" s="274">
        <f>IF(C395&lt;&gt;"",SUBTOTAL(103,$C$385:$C395),"")</f>
      </c>
      <c r="C395" s="221"/>
      <c r="D395" s="47"/>
      <c r="E395" s="42"/>
      <c r="F395" s="42"/>
      <c r="G395" s="42"/>
      <c r="H395" s="42"/>
      <c r="I395" s="42"/>
      <c r="J395" s="45"/>
      <c r="K395" s="128"/>
      <c r="L395" s="45">
        <v>42491</v>
      </c>
      <c r="M395" s="45">
        <v>42583</v>
      </c>
      <c r="N395" s="128">
        <f t="shared" si="26"/>
        <v>4</v>
      </c>
      <c r="O395" s="137">
        <v>1210000</v>
      </c>
      <c r="P395" s="129">
        <f t="shared" si="25"/>
        <v>7260000</v>
      </c>
      <c r="Q395" s="129">
        <f>N395*O395*1.5</f>
        <v>7260000</v>
      </c>
      <c r="R395" s="129">
        <v>0</v>
      </c>
      <c r="S395" s="129"/>
      <c r="T395" s="255"/>
      <c r="U395" s="240"/>
    </row>
    <row r="396" spans="1:21" s="204" customFormat="1" ht="27" customHeight="1" collapsed="1">
      <c r="A396" s="274">
        <f>IF(B396&lt;&gt;"",SUBTOTAL(103,$D$7:$D396),"")</f>
        <v>195</v>
      </c>
      <c r="B396" s="274">
        <f>IF(C396&lt;&gt;"",SUBTOTAL(103,$C$385:$C396),"")</f>
        <v>6</v>
      </c>
      <c r="C396" s="221" t="s">
        <v>1743</v>
      </c>
      <c r="D396" s="47" t="s">
        <v>1744</v>
      </c>
      <c r="E396" s="42" t="s">
        <v>1745</v>
      </c>
      <c r="F396" s="42" t="s">
        <v>1746</v>
      </c>
      <c r="G396" s="42" t="s">
        <v>1720</v>
      </c>
      <c r="H396" s="42" t="s">
        <v>271</v>
      </c>
      <c r="I396" s="42" t="s">
        <v>2137</v>
      </c>
      <c r="J396" s="45">
        <v>42401</v>
      </c>
      <c r="K396" s="128">
        <v>0</v>
      </c>
      <c r="L396" s="45">
        <v>42401</v>
      </c>
      <c r="M396" s="45">
        <v>42705</v>
      </c>
      <c r="N396" s="128">
        <f t="shared" si="26"/>
        <v>11</v>
      </c>
      <c r="O396" s="137"/>
      <c r="P396" s="137">
        <f t="shared" si="25"/>
        <v>19695000</v>
      </c>
      <c r="Q396" s="129">
        <f>SUM(P397:P398)</f>
        <v>19695000</v>
      </c>
      <c r="R396" s="129">
        <v>0</v>
      </c>
      <c r="S396" s="129">
        <v>0</v>
      </c>
      <c r="T396" s="255" t="s">
        <v>356</v>
      </c>
      <c r="U396" s="240">
        <v>42661</v>
      </c>
    </row>
    <row r="397" spans="1:21" s="204" customFormat="1" ht="27" customHeight="1" hidden="1" outlineLevel="1">
      <c r="A397" s="274">
        <f>IF(B397&lt;&gt;"",SUBTOTAL(103,$D$7:$D397),"")</f>
      </c>
      <c r="B397" s="274">
        <f>IF(C397&lt;&gt;"",SUBTOTAL(103,$C$385:$C397),"")</f>
      </c>
      <c r="C397" s="221"/>
      <c r="D397" s="47"/>
      <c r="E397" s="42"/>
      <c r="F397" s="42"/>
      <c r="G397" s="42"/>
      <c r="H397" s="42"/>
      <c r="I397" s="42"/>
      <c r="J397" s="45"/>
      <c r="K397" s="128"/>
      <c r="L397" s="45">
        <v>42401</v>
      </c>
      <c r="M397" s="45">
        <v>42461</v>
      </c>
      <c r="N397" s="128">
        <f t="shared" si="26"/>
        <v>3</v>
      </c>
      <c r="O397" s="137">
        <v>1150000</v>
      </c>
      <c r="P397" s="129">
        <f t="shared" si="25"/>
        <v>5175000</v>
      </c>
      <c r="Q397" s="129">
        <f>N397*O397*1.5</f>
        <v>5175000</v>
      </c>
      <c r="R397" s="129">
        <v>0</v>
      </c>
      <c r="S397" s="129"/>
      <c r="T397" s="255"/>
      <c r="U397" s="240"/>
    </row>
    <row r="398" spans="1:21" s="204" customFormat="1" ht="27" customHeight="1" hidden="1" outlineLevel="1">
      <c r="A398" s="274">
        <f>IF(B398&lt;&gt;"",SUBTOTAL(103,$D$7:$D398),"")</f>
      </c>
      <c r="B398" s="274">
        <f>IF(C398&lt;&gt;"",SUBTOTAL(103,$C$385:$C398),"")</f>
      </c>
      <c r="C398" s="221"/>
      <c r="D398" s="47"/>
      <c r="E398" s="42"/>
      <c r="F398" s="42"/>
      <c r="G398" s="42"/>
      <c r="H398" s="42"/>
      <c r="I398" s="42"/>
      <c r="J398" s="45"/>
      <c r="K398" s="128"/>
      <c r="L398" s="45">
        <v>42491</v>
      </c>
      <c r="M398" s="45">
        <v>42705</v>
      </c>
      <c r="N398" s="128">
        <f t="shared" si="26"/>
        <v>8</v>
      </c>
      <c r="O398" s="137">
        <v>1210000</v>
      </c>
      <c r="P398" s="129">
        <f t="shared" si="25"/>
        <v>14520000</v>
      </c>
      <c r="Q398" s="129">
        <f>N398*O398*1.5</f>
        <v>14520000</v>
      </c>
      <c r="R398" s="129">
        <v>0</v>
      </c>
      <c r="S398" s="129"/>
      <c r="T398" s="255"/>
      <c r="U398" s="240"/>
    </row>
    <row r="399" spans="1:21" s="204" customFormat="1" ht="27" customHeight="1" collapsed="1">
      <c r="A399" s="274">
        <f>IF(B399&lt;&gt;"",SUBTOTAL(103,$D$7:$D399),"")</f>
        <v>196</v>
      </c>
      <c r="B399" s="274">
        <f>IF(C399&lt;&gt;"",SUBTOTAL(103,$C$385:$C399),"")</f>
        <v>7</v>
      </c>
      <c r="C399" s="221" t="s">
        <v>1747</v>
      </c>
      <c r="D399" s="47" t="s">
        <v>1299</v>
      </c>
      <c r="E399" s="42" t="s">
        <v>1752</v>
      </c>
      <c r="F399" s="42" t="s">
        <v>1748</v>
      </c>
      <c r="G399" s="42" t="s">
        <v>1198</v>
      </c>
      <c r="H399" s="42" t="s">
        <v>1137</v>
      </c>
      <c r="I399" s="42" t="s">
        <v>1749</v>
      </c>
      <c r="J399" s="45">
        <v>42217</v>
      </c>
      <c r="K399" s="128">
        <v>0</v>
      </c>
      <c r="L399" s="45">
        <v>42217</v>
      </c>
      <c r="M399" s="45">
        <v>42705</v>
      </c>
      <c r="N399" s="128">
        <f t="shared" si="26"/>
        <v>17</v>
      </c>
      <c r="O399" s="137"/>
      <c r="P399" s="137">
        <f t="shared" si="25"/>
        <v>30045000</v>
      </c>
      <c r="Q399" s="129">
        <f>SUM(P400:P401)</f>
        <v>30045000</v>
      </c>
      <c r="R399" s="129">
        <v>0</v>
      </c>
      <c r="S399" s="129">
        <v>0</v>
      </c>
      <c r="T399" s="255" t="s">
        <v>356</v>
      </c>
      <c r="U399" s="240">
        <v>42661</v>
      </c>
    </row>
    <row r="400" spans="1:21" s="204" customFormat="1" ht="27" customHeight="1" hidden="1" outlineLevel="1">
      <c r="A400" s="274">
        <f>IF(B400&lt;&gt;"",SUBTOTAL(103,$D$7:$D400),"")</f>
      </c>
      <c r="B400" s="274">
        <f>IF(C400&lt;&gt;"",SUBTOTAL(103,$C$385:$C400),"")</f>
      </c>
      <c r="C400" s="221"/>
      <c r="D400" s="47"/>
      <c r="E400" s="42"/>
      <c r="F400" s="42"/>
      <c r="G400" s="42"/>
      <c r="H400" s="42"/>
      <c r="I400" s="42"/>
      <c r="J400" s="45"/>
      <c r="K400" s="128"/>
      <c r="L400" s="45">
        <v>42217</v>
      </c>
      <c r="M400" s="45">
        <v>42461</v>
      </c>
      <c r="N400" s="128">
        <f t="shared" si="26"/>
        <v>9</v>
      </c>
      <c r="O400" s="137">
        <v>1150000</v>
      </c>
      <c r="P400" s="129">
        <f t="shared" si="25"/>
        <v>15525000</v>
      </c>
      <c r="Q400" s="129">
        <f>N400*O400*1.5</f>
        <v>15525000</v>
      </c>
      <c r="R400" s="129">
        <v>0</v>
      </c>
      <c r="S400" s="129"/>
      <c r="T400" s="255"/>
      <c r="U400" s="240"/>
    </row>
    <row r="401" spans="1:21" s="204" customFormat="1" ht="27" customHeight="1" hidden="1" outlineLevel="1">
      <c r="A401" s="274">
        <f>IF(B401&lt;&gt;"",SUBTOTAL(103,$D$7:$D401),"")</f>
      </c>
      <c r="B401" s="274">
        <f>IF(C401&lt;&gt;"",SUBTOTAL(103,$C$385:$C401),"")</f>
      </c>
      <c r="C401" s="221"/>
      <c r="D401" s="47"/>
      <c r="E401" s="42"/>
      <c r="F401" s="42"/>
      <c r="G401" s="42"/>
      <c r="H401" s="42"/>
      <c r="I401" s="42"/>
      <c r="J401" s="45"/>
      <c r="K401" s="128"/>
      <c r="L401" s="45">
        <v>42491</v>
      </c>
      <c r="M401" s="45">
        <v>42705</v>
      </c>
      <c r="N401" s="128">
        <f t="shared" si="26"/>
        <v>8</v>
      </c>
      <c r="O401" s="137">
        <v>1210000</v>
      </c>
      <c r="P401" s="129">
        <f t="shared" si="25"/>
        <v>14520000</v>
      </c>
      <c r="Q401" s="129">
        <f>N401*O401*1.5</f>
        <v>14520000</v>
      </c>
      <c r="R401" s="129">
        <v>0</v>
      </c>
      <c r="S401" s="129"/>
      <c r="T401" s="255"/>
      <c r="U401" s="240"/>
    </row>
    <row r="402" spans="1:21" s="204" customFormat="1" ht="27" customHeight="1" collapsed="1">
      <c r="A402" s="274">
        <f>IF(B402&lt;&gt;"",SUBTOTAL(103,$D$7:$D402),"")</f>
        <v>197</v>
      </c>
      <c r="B402" s="274">
        <f>IF(C402&lt;&gt;"",SUBTOTAL(103,$C$385:$C402),"")</f>
        <v>8</v>
      </c>
      <c r="C402" s="221" t="s">
        <v>1750</v>
      </c>
      <c r="D402" s="47" t="s">
        <v>1751</v>
      </c>
      <c r="E402" s="42" t="s">
        <v>1753</v>
      </c>
      <c r="F402" s="42" t="s">
        <v>1754</v>
      </c>
      <c r="G402" s="42" t="s">
        <v>1198</v>
      </c>
      <c r="H402" s="42" t="s">
        <v>1755</v>
      </c>
      <c r="I402" s="42" t="s">
        <v>2175</v>
      </c>
      <c r="J402" s="45">
        <v>42583</v>
      </c>
      <c r="K402" s="128">
        <v>0</v>
      </c>
      <c r="L402" s="45">
        <v>42583</v>
      </c>
      <c r="M402" s="45">
        <v>42705</v>
      </c>
      <c r="N402" s="128">
        <f t="shared" si="26"/>
        <v>5</v>
      </c>
      <c r="O402" s="137">
        <v>1210000</v>
      </c>
      <c r="P402" s="129">
        <f t="shared" si="25"/>
        <v>9075000</v>
      </c>
      <c r="Q402" s="129">
        <f>N402*O402*1.5</f>
        <v>9075000</v>
      </c>
      <c r="R402" s="129">
        <v>0</v>
      </c>
      <c r="S402" s="129">
        <v>0</v>
      </c>
      <c r="T402" s="255" t="s">
        <v>356</v>
      </c>
      <c r="U402" s="240">
        <v>42661</v>
      </c>
    </row>
    <row r="403" spans="1:21" s="273" customFormat="1" ht="27" customHeight="1">
      <c r="A403" s="274">
        <f>IF(B403&lt;&gt;"",SUBTOTAL(103,$D$7:$D403),"")</f>
      </c>
      <c r="B403" s="213"/>
      <c r="C403" s="214" t="s">
        <v>656</v>
      </c>
      <c r="D403" s="218"/>
      <c r="E403" s="7"/>
      <c r="F403" s="7"/>
      <c r="G403" s="7"/>
      <c r="H403" s="7"/>
      <c r="I403" s="7"/>
      <c r="J403" s="136"/>
      <c r="K403" s="20"/>
      <c r="L403" s="21"/>
      <c r="M403" s="21"/>
      <c r="N403" s="22"/>
      <c r="O403" s="11"/>
      <c r="P403" s="12">
        <f>SUBTOTAL(109,P404:P410)</f>
        <v>94885000</v>
      </c>
      <c r="Q403" s="12">
        <f>SUBTOTAL(109,Q404:Q410)</f>
        <v>44385000</v>
      </c>
      <c r="R403" s="12">
        <f>SUBTOTAL(109,R404:R410)</f>
        <v>16000000</v>
      </c>
      <c r="S403" s="12">
        <f>SUBTOTAL(109,S404:S410)</f>
        <v>34500000</v>
      </c>
      <c r="T403" s="262"/>
      <c r="U403" s="216"/>
    </row>
    <row r="404" spans="1:21" s="204" customFormat="1" ht="27" customHeight="1">
      <c r="A404" s="274">
        <f>IF(B404&lt;&gt;"",SUBTOTAL(103,$D$7:$D404),"")</f>
        <v>198</v>
      </c>
      <c r="B404" s="274">
        <f>IF(C404&lt;&gt;"",SUBTOTAL(103,$C$404:$C404),"")</f>
        <v>1</v>
      </c>
      <c r="C404" s="245" t="s">
        <v>1200</v>
      </c>
      <c r="D404" s="275" t="s">
        <v>1707</v>
      </c>
      <c r="E404" s="43" t="s">
        <v>1708</v>
      </c>
      <c r="F404" s="43" t="s">
        <v>1709</v>
      </c>
      <c r="G404" s="43" t="s">
        <v>341</v>
      </c>
      <c r="H404" s="43" t="s">
        <v>2170</v>
      </c>
      <c r="I404" s="43" t="s">
        <v>1158</v>
      </c>
      <c r="J404" s="45">
        <v>42278</v>
      </c>
      <c r="K404" s="56">
        <v>0</v>
      </c>
      <c r="L404" s="45">
        <v>42278</v>
      </c>
      <c r="M404" s="45">
        <v>42705</v>
      </c>
      <c r="N404" s="128">
        <f>DATEDIF(L404,M404,"m")+1</f>
        <v>15</v>
      </c>
      <c r="O404" s="129"/>
      <c r="P404" s="129">
        <f>SUM(Q404:S404)</f>
        <v>42595000</v>
      </c>
      <c r="Q404" s="129">
        <f>SUM(Q405:Q406)</f>
        <v>26595000</v>
      </c>
      <c r="R404" s="129">
        <v>16000000</v>
      </c>
      <c r="S404" s="129">
        <v>0</v>
      </c>
      <c r="T404" s="256" t="s">
        <v>1710</v>
      </c>
      <c r="U404" s="241">
        <v>42660</v>
      </c>
    </row>
    <row r="405" spans="1:21" s="204" customFormat="1" ht="27" customHeight="1" hidden="1" outlineLevel="1">
      <c r="A405" s="274">
        <f>IF(B405&lt;&gt;"",SUBTOTAL(103,$D$7:$D405),"")</f>
      </c>
      <c r="B405" s="274">
        <f>IF(C405&lt;&gt;"",SUBTOTAL(103,$C$404:$C405),"")</f>
      </c>
      <c r="C405" s="245"/>
      <c r="D405" s="275"/>
      <c r="E405" s="43"/>
      <c r="F405" s="43"/>
      <c r="G405" s="43"/>
      <c r="H405" s="43"/>
      <c r="I405" s="43"/>
      <c r="J405" s="45"/>
      <c r="K405" s="56"/>
      <c r="L405" s="45">
        <v>42278</v>
      </c>
      <c r="M405" s="45">
        <v>42461</v>
      </c>
      <c r="N405" s="128">
        <f>DATEDIF(L405,M405,"m")+1</f>
        <v>7</v>
      </c>
      <c r="O405" s="129">
        <v>1150000</v>
      </c>
      <c r="P405" s="129"/>
      <c r="Q405" s="129">
        <f>N405*O405*1.5</f>
        <v>12075000</v>
      </c>
      <c r="R405" s="129"/>
      <c r="S405" s="129"/>
      <c r="T405" s="256"/>
      <c r="U405" s="242"/>
    </row>
    <row r="406" spans="1:21" s="204" customFormat="1" ht="27" customHeight="1" hidden="1" outlineLevel="1">
      <c r="A406" s="274">
        <f>IF(B406&lt;&gt;"",SUBTOTAL(103,$D$7:$D406),"")</f>
      </c>
      <c r="B406" s="274">
        <f>IF(C406&lt;&gt;"",SUBTOTAL(103,$C$404:$C406),"")</f>
      </c>
      <c r="C406" s="245"/>
      <c r="D406" s="275"/>
      <c r="E406" s="43"/>
      <c r="F406" s="43"/>
      <c r="G406" s="43"/>
      <c r="H406" s="43"/>
      <c r="I406" s="43"/>
      <c r="J406" s="45"/>
      <c r="K406" s="56"/>
      <c r="L406" s="45">
        <v>42491</v>
      </c>
      <c r="M406" s="45">
        <v>42705</v>
      </c>
      <c r="N406" s="128">
        <f>DATEDIF(L406,M406,"m")+1</f>
        <v>8</v>
      </c>
      <c r="O406" s="129">
        <v>1210000</v>
      </c>
      <c r="P406" s="129"/>
      <c r="Q406" s="129">
        <f>N406*O406*1.5</f>
        <v>14520000</v>
      </c>
      <c r="R406" s="129"/>
      <c r="S406" s="129"/>
      <c r="T406" s="256"/>
      <c r="U406" s="242"/>
    </row>
    <row r="407" spans="1:21" s="204" customFormat="1" ht="27" customHeight="1" collapsed="1">
      <c r="A407" s="274">
        <f>IF(B407&lt;&gt;"",SUBTOTAL(103,$D$7:$D407),"")</f>
        <v>199</v>
      </c>
      <c r="B407" s="274">
        <f>IF(C407&lt;&gt;"",SUBTOTAL(103,$C$404:$C407),"")</f>
        <v>2</v>
      </c>
      <c r="C407" s="221" t="s">
        <v>1025</v>
      </c>
      <c r="D407" s="47" t="s">
        <v>1026</v>
      </c>
      <c r="E407" s="42" t="s">
        <v>314</v>
      </c>
      <c r="F407" s="42" t="s">
        <v>1027</v>
      </c>
      <c r="G407" s="42" t="s">
        <v>346</v>
      </c>
      <c r="H407" s="42" t="s">
        <v>1028</v>
      </c>
      <c r="I407" s="42" t="s">
        <v>1158</v>
      </c>
      <c r="J407" s="45">
        <v>41153</v>
      </c>
      <c r="K407" s="128">
        <v>20</v>
      </c>
      <c r="L407" s="362"/>
      <c r="M407" s="363"/>
      <c r="N407" s="101">
        <v>0</v>
      </c>
      <c r="O407" s="277">
        <v>1150000</v>
      </c>
      <c r="P407" s="129">
        <f>Q407+R407+S407</f>
        <v>34500000</v>
      </c>
      <c r="Q407" s="129">
        <v>0</v>
      </c>
      <c r="R407" s="129">
        <v>0</v>
      </c>
      <c r="S407" s="129">
        <f>30*O407</f>
        <v>34500000</v>
      </c>
      <c r="T407" s="255" t="s">
        <v>2073</v>
      </c>
      <c r="U407" s="240">
        <v>42660</v>
      </c>
    </row>
    <row r="408" spans="1:21" s="276" customFormat="1" ht="27" customHeight="1">
      <c r="A408" s="274">
        <f>IF(B408&lt;&gt;"",SUBTOTAL(103,$D$7:$D408),"")</f>
        <v>200</v>
      </c>
      <c r="B408" s="274">
        <f>IF(C408&lt;&gt;"",SUBTOTAL(103,$C$404:$C408),"")</f>
        <v>3</v>
      </c>
      <c r="C408" s="221" t="s">
        <v>1021</v>
      </c>
      <c r="D408" s="47" t="s">
        <v>1022</v>
      </c>
      <c r="E408" s="42" t="s">
        <v>314</v>
      </c>
      <c r="F408" s="42" t="s">
        <v>1023</v>
      </c>
      <c r="G408" s="42" t="s">
        <v>341</v>
      </c>
      <c r="H408" s="42" t="s">
        <v>1024</v>
      </c>
      <c r="I408" s="42" t="s">
        <v>643</v>
      </c>
      <c r="J408" s="45">
        <v>41214</v>
      </c>
      <c r="K408" s="128">
        <v>20</v>
      </c>
      <c r="L408" s="45">
        <v>42370</v>
      </c>
      <c r="M408" s="45">
        <v>42644</v>
      </c>
      <c r="N408" s="128">
        <f>DATEDIF(L408,M408,"m")+1</f>
        <v>10</v>
      </c>
      <c r="O408" s="129"/>
      <c r="P408" s="129">
        <f>Q408+R408+S408</f>
        <v>17790000</v>
      </c>
      <c r="Q408" s="129">
        <f>SUM(Q409:Q410)</f>
        <v>17790000</v>
      </c>
      <c r="R408" s="129">
        <v>0</v>
      </c>
      <c r="S408" s="129">
        <v>0</v>
      </c>
      <c r="T408" s="255" t="s">
        <v>1964</v>
      </c>
      <c r="U408" s="240">
        <v>42664</v>
      </c>
    </row>
    <row r="409" spans="1:21" s="294" customFormat="1" ht="27" customHeight="1" hidden="1" outlineLevel="1">
      <c r="A409" s="274">
        <f>IF(B409&lt;&gt;"",SUBTOTAL(103,$D$7:$D409),"")</f>
      </c>
      <c r="B409" s="220"/>
      <c r="C409" s="221"/>
      <c r="D409" s="47"/>
      <c r="E409" s="42"/>
      <c r="F409" s="42"/>
      <c r="G409" s="42"/>
      <c r="H409" s="42"/>
      <c r="I409" s="42"/>
      <c r="J409" s="45"/>
      <c r="K409" s="128"/>
      <c r="L409" s="45">
        <v>42370</v>
      </c>
      <c r="M409" s="45">
        <v>42461</v>
      </c>
      <c r="N409" s="128">
        <f>DATEDIF(L409,M409,"m")+1</f>
        <v>4</v>
      </c>
      <c r="O409" s="129">
        <v>1150000</v>
      </c>
      <c r="P409" s="129">
        <f>Q409+R409+S409</f>
        <v>6900000</v>
      </c>
      <c r="Q409" s="129">
        <f>N409*O409*1.5</f>
        <v>6900000</v>
      </c>
      <c r="R409" s="129">
        <v>0</v>
      </c>
      <c r="S409" s="129"/>
      <c r="T409" s="255"/>
      <c r="U409" s="222"/>
    </row>
    <row r="410" spans="1:21" s="294" customFormat="1" ht="27" customHeight="1" hidden="1" outlineLevel="1">
      <c r="A410" s="274">
        <f>IF(B410&lt;&gt;"",SUBTOTAL(103,$D$7:$D410),"")</f>
      </c>
      <c r="B410" s="220"/>
      <c r="C410" s="221"/>
      <c r="D410" s="47"/>
      <c r="E410" s="42"/>
      <c r="F410" s="42"/>
      <c r="G410" s="42"/>
      <c r="H410" s="42"/>
      <c r="I410" s="42"/>
      <c r="J410" s="45"/>
      <c r="K410" s="128"/>
      <c r="L410" s="45">
        <v>42491</v>
      </c>
      <c r="M410" s="45">
        <v>42644</v>
      </c>
      <c r="N410" s="128">
        <f>DATEDIF(L410,M410,"m")+1</f>
        <v>6</v>
      </c>
      <c r="O410" s="129">
        <v>1210000</v>
      </c>
      <c r="P410" s="129">
        <f>Q410+R410+S410</f>
        <v>10890000</v>
      </c>
      <c r="Q410" s="129">
        <f>N410*O410*1.5</f>
        <v>10890000</v>
      </c>
      <c r="R410" s="129">
        <v>0</v>
      </c>
      <c r="S410" s="129"/>
      <c r="T410" s="255"/>
      <c r="U410" s="222"/>
    </row>
    <row r="411" spans="1:21" s="273" customFormat="1" ht="27" customHeight="1" collapsed="1">
      <c r="A411" s="274">
        <f>IF(B411&lt;&gt;"",SUBTOTAL(103,$D$7:$D411),"")</f>
      </c>
      <c r="B411" s="213"/>
      <c r="C411" s="214" t="s">
        <v>679</v>
      </c>
      <c r="D411" s="218"/>
      <c r="E411" s="7"/>
      <c r="F411" s="7"/>
      <c r="G411" s="7"/>
      <c r="H411" s="7"/>
      <c r="I411" s="7"/>
      <c r="J411" s="136"/>
      <c r="K411" s="20"/>
      <c r="L411" s="21"/>
      <c r="M411" s="21"/>
      <c r="N411" s="22"/>
      <c r="O411" s="11"/>
      <c r="P411" s="12">
        <f>SUBTOTAL(109,P412:P433)</f>
        <v>398520000</v>
      </c>
      <c r="Q411" s="12">
        <f>SUBTOTAL(109,Q412:Q433)</f>
        <v>79695000</v>
      </c>
      <c r="R411" s="12">
        <f>SUBTOTAL(109,R412:R433)</f>
        <v>111825000</v>
      </c>
      <c r="S411" s="12">
        <f>SUBTOTAL(109,S412:S433)</f>
        <v>207000000</v>
      </c>
      <c r="T411" s="262"/>
      <c r="U411" s="216"/>
    </row>
    <row r="412" spans="1:21" s="204" customFormat="1" ht="27" customHeight="1">
      <c r="A412" s="274">
        <f>IF(B412&lt;&gt;"",SUBTOTAL(103,$D$7:$D412),"")</f>
        <v>201</v>
      </c>
      <c r="B412" s="274">
        <f>IF(C412&lt;&gt;"",SUBTOTAL(103,$C$412:$C412),"")</f>
        <v>1</v>
      </c>
      <c r="C412" s="221" t="s">
        <v>351</v>
      </c>
      <c r="D412" s="47" t="s">
        <v>352</v>
      </c>
      <c r="E412" s="48" t="s">
        <v>314</v>
      </c>
      <c r="F412" s="42" t="s">
        <v>353</v>
      </c>
      <c r="G412" s="42" t="s">
        <v>346</v>
      </c>
      <c r="H412" s="42" t="s">
        <v>354</v>
      </c>
      <c r="I412" s="42" t="s">
        <v>355</v>
      </c>
      <c r="J412" s="45">
        <v>41244</v>
      </c>
      <c r="K412" s="127">
        <v>20</v>
      </c>
      <c r="L412" s="362" t="s">
        <v>46</v>
      </c>
      <c r="M412" s="363"/>
      <c r="N412" s="101">
        <v>0</v>
      </c>
      <c r="O412" s="129">
        <v>1150000</v>
      </c>
      <c r="P412" s="129">
        <f aca="true" t="shared" si="27" ref="P412:P418">Q412+R412+S412</f>
        <v>34500000</v>
      </c>
      <c r="Q412" s="129">
        <f>N412*O412*1.5</f>
        <v>0</v>
      </c>
      <c r="R412" s="129">
        <v>0</v>
      </c>
      <c r="S412" s="129">
        <f aca="true" t="shared" si="28" ref="S412:S417">30*O412</f>
        <v>34500000</v>
      </c>
      <c r="T412" s="256" t="s">
        <v>1722</v>
      </c>
      <c r="U412" s="240">
        <v>42660</v>
      </c>
    </row>
    <row r="413" spans="1:21" s="204" customFormat="1" ht="27" customHeight="1">
      <c r="A413" s="274">
        <f>IF(B413&lt;&gt;"",SUBTOTAL(103,$D$7:$D413),"")</f>
        <v>202</v>
      </c>
      <c r="B413" s="274">
        <f>IF(C413&lt;&gt;"",SUBTOTAL(103,$C$412:$C413),"")</f>
        <v>2</v>
      </c>
      <c r="C413" s="221" t="s">
        <v>437</v>
      </c>
      <c r="D413" s="47" t="s">
        <v>438</v>
      </c>
      <c r="E413" s="42" t="s">
        <v>314</v>
      </c>
      <c r="F413" s="42" t="s">
        <v>439</v>
      </c>
      <c r="G413" s="42" t="s">
        <v>346</v>
      </c>
      <c r="H413" s="42" t="s">
        <v>440</v>
      </c>
      <c r="I413" s="42" t="s">
        <v>665</v>
      </c>
      <c r="J413" s="45">
        <v>41395</v>
      </c>
      <c r="K413" s="128">
        <v>20</v>
      </c>
      <c r="L413" s="362" t="s">
        <v>46</v>
      </c>
      <c r="M413" s="363"/>
      <c r="N413" s="101">
        <v>0</v>
      </c>
      <c r="O413" s="129">
        <v>1150000</v>
      </c>
      <c r="P413" s="129">
        <f t="shared" si="27"/>
        <v>41500000</v>
      </c>
      <c r="Q413" s="129">
        <f>N413*O413*1.5</f>
        <v>0</v>
      </c>
      <c r="R413" s="129">
        <v>7000000</v>
      </c>
      <c r="S413" s="137">
        <f t="shared" si="28"/>
        <v>34500000</v>
      </c>
      <c r="T413" s="257" t="s">
        <v>2074</v>
      </c>
      <c r="U413" s="240">
        <v>42660</v>
      </c>
    </row>
    <row r="414" spans="1:21" s="204" customFormat="1" ht="27" customHeight="1">
      <c r="A414" s="274">
        <f>IF(B414&lt;&gt;"",SUBTOTAL(103,$D$7:$D414),"")</f>
        <v>203</v>
      </c>
      <c r="B414" s="274">
        <f>IF(C414&lt;&gt;"",SUBTOTAL(103,$C$412:$C414),"")</f>
        <v>3</v>
      </c>
      <c r="C414" s="221" t="s">
        <v>441</v>
      </c>
      <c r="D414" s="47" t="s">
        <v>442</v>
      </c>
      <c r="E414" s="42" t="s">
        <v>314</v>
      </c>
      <c r="F414" s="42" t="s">
        <v>443</v>
      </c>
      <c r="G414" s="42" t="s">
        <v>346</v>
      </c>
      <c r="H414" s="42" t="s">
        <v>633</v>
      </c>
      <c r="I414" s="42" t="s">
        <v>254</v>
      </c>
      <c r="J414" s="45">
        <v>41395</v>
      </c>
      <c r="K414" s="128">
        <v>20</v>
      </c>
      <c r="L414" s="362" t="s">
        <v>46</v>
      </c>
      <c r="M414" s="363"/>
      <c r="N414" s="101">
        <v>0</v>
      </c>
      <c r="O414" s="129">
        <v>1150000</v>
      </c>
      <c r="P414" s="129">
        <f t="shared" si="27"/>
        <v>34500000</v>
      </c>
      <c r="Q414" s="129">
        <f>N414*O414*1.5</f>
        <v>0</v>
      </c>
      <c r="R414" s="129">
        <v>0</v>
      </c>
      <c r="S414" s="129">
        <f t="shared" si="28"/>
        <v>34500000</v>
      </c>
      <c r="T414" s="129" t="s">
        <v>2075</v>
      </c>
      <c r="U414" s="240">
        <v>42660</v>
      </c>
    </row>
    <row r="415" spans="1:21" s="204" customFormat="1" ht="27" customHeight="1">
      <c r="A415" s="274">
        <f>IF(B415&lt;&gt;"",SUBTOTAL(103,$D$7:$D415),"")</f>
        <v>204</v>
      </c>
      <c r="B415" s="274">
        <f>IF(C415&lt;&gt;"",SUBTOTAL(103,$C$412:$C415),"")</f>
        <v>4</v>
      </c>
      <c r="C415" s="221" t="s">
        <v>1014</v>
      </c>
      <c r="D415" s="47" t="s">
        <v>1015</v>
      </c>
      <c r="E415" s="42" t="s">
        <v>314</v>
      </c>
      <c r="F415" s="42" t="s">
        <v>1016</v>
      </c>
      <c r="G415" s="42" t="s">
        <v>346</v>
      </c>
      <c r="H415" s="42" t="s">
        <v>354</v>
      </c>
      <c r="I415" s="42" t="s">
        <v>355</v>
      </c>
      <c r="J415" s="45">
        <v>41214</v>
      </c>
      <c r="K415" s="128">
        <v>20</v>
      </c>
      <c r="L415" s="362" t="s">
        <v>46</v>
      </c>
      <c r="M415" s="363"/>
      <c r="N415" s="101">
        <v>0</v>
      </c>
      <c r="O415" s="129">
        <v>1150000</v>
      </c>
      <c r="P415" s="129">
        <f t="shared" si="27"/>
        <v>34500000</v>
      </c>
      <c r="Q415" s="129">
        <f>N415*O415*1.5</f>
        <v>0</v>
      </c>
      <c r="R415" s="129"/>
      <c r="S415" s="129">
        <f t="shared" si="28"/>
        <v>34500000</v>
      </c>
      <c r="T415" s="129" t="s">
        <v>2076</v>
      </c>
      <c r="U415" s="240">
        <v>42660</v>
      </c>
    </row>
    <row r="416" spans="1:21" s="204" customFormat="1" ht="27" customHeight="1">
      <c r="A416" s="274">
        <f>IF(B416&lt;&gt;"",SUBTOTAL(103,$D$7:$D416),"")</f>
        <v>205</v>
      </c>
      <c r="B416" s="274">
        <f>IF(C416&lt;&gt;"",SUBTOTAL(103,$C$412:$C416),"")</f>
        <v>5</v>
      </c>
      <c r="C416" s="242" t="s">
        <v>1293</v>
      </c>
      <c r="D416" s="275" t="s">
        <v>2166</v>
      </c>
      <c r="E416" s="43" t="s">
        <v>1294</v>
      </c>
      <c r="F416" s="43" t="s">
        <v>1295</v>
      </c>
      <c r="G416" s="43" t="s">
        <v>346</v>
      </c>
      <c r="H416" s="43" t="s">
        <v>681</v>
      </c>
      <c r="I416" s="43" t="s">
        <v>1296</v>
      </c>
      <c r="J416" s="45">
        <v>40878</v>
      </c>
      <c r="K416" s="56">
        <v>20</v>
      </c>
      <c r="L416" s="362" t="s">
        <v>46</v>
      </c>
      <c r="M416" s="363"/>
      <c r="N416" s="101">
        <v>0</v>
      </c>
      <c r="O416" s="129">
        <v>1150000</v>
      </c>
      <c r="P416" s="129">
        <f t="shared" si="27"/>
        <v>34500000</v>
      </c>
      <c r="Q416" s="129">
        <v>0</v>
      </c>
      <c r="R416" s="129">
        <v>0</v>
      </c>
      <c r="S416" s="129">
        <f t="shared" si="28"/>
        <v>34500000</v>
      </c>
      <c r="T416" s="256" t="s">
        <v>2077</v>
      </c>
      <c r="U416" s="240">
        <v>42660</v>
      </c>
    </row>
    <row r="417" spans="1:21" s="204" customFormat="1" ht="27" customHeight="1">
      <c r="A417" s="274">
        <f>IF(B417&lt;&gt;"",SUBTOTAL(103,$D$7:$D417),"")</f>
        <v>206</v>
      </c>
      <c r="B417" s="274">
        <f>IF(C417&lt;&gt;"",SUBTOTAL(103,$C$412:$C417),"")</f>
        <v>6</v>
      </c>
      <c r="C417" s="221" t="s">
        <v>1111</v>
      </c>
      <c r="D417" s="47" t="s">
        <v>1109</v>
      </c>
      <c r="E417" s="42" t="s">
        <v>314</v>
      </c>
      <c r="F417" s="42" t="s">
        <v>1110</v>
      </c>
      <c r="G417" s="42" t="s">
        <v>346</v>
      </c>
      <c r="H417" s="42" t="s">
        <v>633</v>
      </c>
      <c r="I417" s="42" t="s">
        <v>847</v>
      </c>
      <c r="J417" s="45">
        <v>41609</v>
      </c>
      <c r="K417" s="128">
        <v>17</v>
      </c>
      <c r="L417" s="45">
        <v>42370</v>
      </c>
      <c r="M417" s="45">
        <v>42430</v>
      </c>
      <c r="N417" s="128">
        <f aca="true" t="shared" si="29" ref="N417:N435">DATEDIF(L417,M417,"m")+1</f>
        <v>3</v>
      </c>
      <c r="O417" s="129">
        <v>1150000</v>
      </c>
      <c r="P417" s="129">
        <f t="shared" si="27"/>
        <v>42000000</v>
      </c>
      <c r="Q417" s="129">
        <v>0</v>
      </c>
      <c r="R417" s="129">
        <f>7500000</f>
        <v>7500000</v>
      </c>
      <c r="S417" s="129">
        <f t="shared" si="28"/>
        <v>34500000</v>
      </c>
      <c r="T417" s="256" t="s">
        <v>2078</v>
      </c>
      <c r="U417" s="240">
        <v>42660</v>
      </c>
    </row>
    <row r="418" spans="1:21" s="204" customFormat="1" ht="27" customHeight="1">
      <c r="A418" s="274">
        <f>IF(B418&lt;&gt;"",SUBTOTAL(103,$D$7:$D418),"")</f>
        <v>207</v>
      </c>
      <c r="B418" s="274">
        <f>IF(C418&lt;&gt;"",SUBTOTAL(103,$C$412:$C418),"")</f>
        <v>7</v>
      </c>
      <c r="C418" s="221" t="s">
        <v>817</v>
      </c>
      <c r="D418" s="47" t="s">
        <v>818</v>
      </c>
      <c r="E418" s="42" t="s">
        <v>314</v>
      </c>
      <c r="F418" s="42" t="s">
        <v>819</v>
      </c>
      <c r="G418" s="42" t="s">
        <v>346</v>
      </c>
      <c r="H418" s="42" t="s">
        <v>820</v>
      </c>
      <c r="I418" s="42" t="s">
        <v>251</v>
      </c>
      <c r="J418" s="45">
        <v>41913</v>
      </c>
      <c r="K418" s="128">
        <v>15</v>
      </c>
      <c r="L418" s="45">
        <v>42370</v>
      </c>
      <c r="M418" s="45">
        <v>42491</v>
      </c>
      <c r="N418" s="128">
        <f t="shared" si="29"/>
        <v>5</v>
      </c>
      <c r="O418" s="129"/>
      <c r="P418" s="129">
        <f t="shared" si="27"/>
        <v>25265000</v>
      </c>
      <c r="Q418" s="129">
        <f>SUM(Q419:Q420)</f>
        <v>8715000</v>
      </c>
      <c r="R418" s="129">
        <f>8300000+8250000</f>
        <v>16550000</v>
      </c>
      <c r="S418" s="129">
        <v>0</v>
      </c>
      <c r="T418" s="255" t="s">
        <v>1725</v>
      </c>
      <c r="U418" s="240">
        <v>42660</v>
      </c>
    </row>
    <row r="419" spans="1:21" s="204" customFormat="1" ht="27" customHeight="1" hidden="1" outlineLevel="1">
      <c r="A419" s="274">
        <f>IF(B419&lt;&gt;"",SUBTOTAL(103,$D$7:$D419),"")</f>
      </c>
      <c r="B419" s="274">
        <f>IF(C419&lt;&gt;"",SUBTOTAL(103,$C$412:$C419),"")</f>
      </c>
      <c r="C419" s="221"/>
      <c r="D419" s="47"/>
      <c r="E419" s="42"/>
      <c r="F419" s="42"/>
      <c r="G419" s="42"/>
      <c r="H419" s="42"/>
      <c r="I419" s="42"/>
      <c r="J419" s="45"/>
      <c r="K419" s="128"/>
      <c r="L419" s="45">
        <v>42370</v>
      </c>
      <c r="M419" s="45">
        <v>42461</v>
      </c>
      <c r="N419" s="128">
        <f t="shared" si="29"/>
        <v>4</v>
      </c>
      <c r="O419" s="129">
        <v>1150000</v>
      </c>
      <c r="P419" s="129"/>
      <c r="Q419" s="129">
        <f>O419*N419*1.5</f>
        <v>6900000</v>
      </c>
      <c r="R419" s="129"/>
      <c r="S419" s="129"/>
      <c r="T419" s="255"/>
      <c r="U419" s="222"/>
    </row>
    <row r="420" spans="1:21" s="204" customFormat="1" ht="27" customHeight="1" hidden="1" outlineLevel="1">
      <c r="A420" s="274">
        <f>IF(B420&lt;&gt;"",SUBTOTAL(103,$D$7:$D420),"")</f>
      </c>
      <c r="B420" s="274">
        <f>IF(C420&lt;&gt;"",SUBTOTAL(103,$C$412:$C420),"")</f>
      </c>
      <c r="C420" s="221"/>
      <c r="D420" s="47"/>
      <c r="E420" s="42"/>
      <c r="F420" s="42"/>
      <c r="G420" s="42"/>
      <c r="H420" s="42"/>
      <c r="I420" s="42"/>
      <c r="J420" s="45"/>
      <c r="K420" s="128"/>
      <c r="L420" s="45">
        <v>42491</v>
      </c>
      <c r="M420" s="45">
        <v>42491</v>
      </c>
      <c r="N420" s="128">
        <f t="shared" si="29"/>
        <v>1</v>
      </c>
      <c r="O420" s="129">
        <v>1210000</v>
      </c>
      <c r="P420" s="129"/>
      <c r="Q420" s="129">
        <f>O420*N420*1.5</f>
        <v>1815000</v>
      </c>
      <c r="R420" s="129"/>
      <c r="S420" s="129"/>
      <c r="T420" s="255"/>
      <c r="U420" s="222"/>
    </row>
    <row r="421" spans="1:21" s="204" customFormat="1" ht="27" customHeight="1" collapsed="1">
      <c r="A421" s="274">
        <f>IF(B421&lt;&gt;"",SUBTOTAL(103,$D$7:$D421),"")</f>
        <v>208</v>
      </c>
      <c r="B421" s="274">
        <f>IF(C421&lt;&gt;"",SUBTOTAL(103,$C$412:$C421),"")</f>
        <v>8</v>
      </c>
      <c r="C421" s="221" t="s">
        <v>503</v>
      </c>
      <c r="D421" s="47" t="s">
        <v>504</v>
      </c>
      <c r="E421" s="42" t="s">
        <v>314</v>
      </c>
      <c r="F421" s="42" t="s">
        <v>505</v>
      </c>
      <c r="G421" s="42" t="s">
        <v>346</v>
      </c>
      <c r="H421" s="42" t="s">
        <v>1137</v>
      </c>
      <c r="I421" s="42" t="s">
        <v>506</v>
      </c>
      <c r="J421" s="45">
        <v>41944</v>
      </c>
      <c r="K421" s="128">
        <v>14</v>
      </c>
      <c r="L421" s="45">
        <v>42370</v>
      </c>
      <c r="M421" s="45">
        <v>42522</v>
      </c>
      <c r="N421" s="128">
        <f t="shared" si="29"/>
        <v>6</v>
      </c>
      <c r="O421" s="217"/>
      <c r="P421" s="129">
        <f>Q421+R421+S421</f>
        <v>27030000</v>
      </c>
      <c r="Q421" s="129">
        <f>SUM(Q422:Q423)</f>
        <v>10530000</v>
      </c>
      <c r="R421" s="129">
        <v>16500000</v>
      </c>
      <c r="S421" s="129">
        <v>0</v>
      </c>
      <c r="T421" s="255"/>
      <c r="U421" s="222"/>
    </row>
    <row r="422" spans="1:21" s="204" customFormat="1" ht="27" customHeight="1" hidden="1" outlineLevel="1">
      <c r="A422" s="274">
        <f>IF(B422&lt;&gt;"",SUBTOTAL(103,$D$7:$D422),"")</f>
      </c>
      <c r="B422" s="274">
        <f>IF(C422&lt;&gt;"",SUBTOTAL(103,$C$412:$C422),"")</f>
      </c>
      <c r="C422" s="221"/>
      <c r="D422" s="47"/>
      <c r="E422" s="42"/>
      <c r="F422" s="42"/>
      <c r="G422" s="42"/>
      <c r="H422" s="42"/>
      <c r="I422" s="42"/>
      <c r="J422" s="45"/>
      <c r="K422" s="128"/>
      <c r="L422" s="45">
        <v>42370</v>
      </c>
      <c r="M422" s="45">
        <v>42461</v>
      </c>
      <c r="N422" s="128">
        <f t="shared" si="29"/>
        <v>4</v>
      </c>
      <c r="O422" s="129">
        <v>1150000</v>
      </c>
      <c r="P422" s="129"/>
      <c r="Q422" s="129">
        <f>O422*N422*1.5</f>
        <v>6900000</v>
      </c>
      <c r="R422" s="129"/>
      <c r="S422" s="129"/>
      <c r="T422" s="255"/>
      <c r="U422" s="222"/>
    </row>
    <row r="423" spans="1:21" s="204" customFormat="1" ht="27" customHeight="1" hidden="1" outlineLevel="1">
      <c r="A423" s="274">
        <f>IF(B423&lt;&gt;"",SUBTOTAL(103,$D$7:$D423),"")</f>
      </c>
      <c r="B423" s="274">
        <f>IF(C423&lt;&gt;"",SUBTOTAL(103,$C$412:$C423),"")</f>
      </c>
      <c r="C423" s="221"/>
      <c r="D423" s="47"/>
      <c r="E423" s="42"/>
      <c r="F423" s="42"/>
      <c r="G423" s="42"/>
      <c r="H423" s="42"/>
      <c r="I423" s="42"/>
      <c r="J423" s="45"/>
      <c r="K423" s="128"/>
      <c r="L423" s="45">
        <v>42491</v>
      </c>
      <c r="M423" s="45">
        <v>42522</v>
      </c>
      <c r="N423" s="128">
        <f t="shared" si="29"/>
        <v>2</v>
      </c>
      <c r="O423" s="129">
        <v>1210000</v>
      </c>
      <c r="P423" s="129"/>
      <c r="Q423" s="129">
        <f>O423*N423*1.5</f>
        <v>3630000</v>
      </c>
      <c r="R423" s="129"/>
      <c r="S423" s="129"/>
      <c r="T423" s="255"/>
      <c r="U423" s="222"/>
    </row>
    <row r="424" spans="1:21" s="204" customFormat="1" ht="27" customHeight="1" collapsed="1">
      <c r="A424" s="274">
        <f>IF(B424&lt;&gt;"",SUBTOTAL(103,$D$7:$D424),"")</f>
        <v>209</v>
      </c>
      <c r="B424" s="274">
        <f>IF(C424&lt;&gt;"",SUBTOTAL(103,$C$412:$C424),"")</f>
        <v>9</v>
      </c>
      <c r="C424" s="221" t="s">
        <v>516</v>
      </c>
      <c r="D424" s="47" t="s">
        <v>517</v>
      </c>
      <c r="E424" s="42" t="s">
        <v>314</v>
      </c>
      <c r="F424" s="42" t="s">
        <v>518</v>
      </c>
      <c r="G424" s="42" t="s">
        <v>346</v>
      </c>
      <c r="H424" s="42" t="s">
        <v>519</v>
      </c>
      <c r="I424" s="42" t="s">
        <v>520</v>
      </c>
      <c r="J424" s="45">
        <v>41944</v>
      </c>
      <c r="K424" s="127">
        <v>14</v>
      </c>
      <c r="L424" s="45">
        <v>42370</v>
      </c>
      <c r="M424" s="45">
        <v>42522</v>
      </c>
      <c r="N424" s="128">
        <f t="shared" si="29"/>
        <v>6</v>
      </c>
      <c r="O424" s="137"/>
      <c r="P424" s="129">
        <f>Q424+R424+S424</f>
        <v>25255000</v>
      </c>
      <c r="Q424" s="129">
        <f>SUM(Q425:Q426)</f>
        <v>10530000</v>
      </c>
      <c r="R424" s="129">
        <f>4875000+4975000+4875000</f>
        <v>14725000</v>
      </c>
      <c r="S424" s="129">
        <v>0</v>
      </c>
      <c r="T424" s="258" t="s">
        <v>1723</v>
      </c>
      <c r="U424" s="240">
        <v>42660</v>
      </c>
    </row>
    <row r="425" spans="1:21" s="204" customFormat="1" ht="27" customHeight="1" hidden="1" outlineLevel="1">
      <c r="A425" s="274">
        <f>IF(B425&lt;&gt;"",SUBTOTAL(103,$D$7:$D425),"")</f>
      </c>
      <c r="B425" s="274">
        <f>IF(C425&lt;&gt;"",SUBTOTAL(103,$C$412:$C425),"")</f>
      </c>
      <c r="C425" s="221"/>
      <c r="D425" s="47"/>
      <c r="E425" s="42"/>
      <c r="F425" s="42"/>
      <c r="G425" s="42"/>
      <c r="H425" s="42"/>
      <c r="I425" s="42"/>
      <c r="J425" s="45"/>
      <c r="K425" s="127"/>
      <c r="L425" s="45">
        <v>42370</v>
      </c>
      <c r="M425" s="45">
        <v>42461</v>
      </c>
      <c r="N425" s="128">
        <f t="shared" si="29"/>
        <v>4</v>
      </c>
      <c r="O425" s="129">
        <v>1150000</v>
      </c>
      <c r="P425" s="129"/>
      <c r="Q425" s="129">
        <f>O425*N425*1.5</f>
        <v>6900000</v>
      </c>
      <c r="R425" s="129"/>
      <c r="S425" s="129"/>
      <c r="T425" s="255"/>
      <c r="U425" s="222"/>
    </row>
    <row r="426" spans="1:21" s="204" customFormat="1" ht="27" customHeight="1" hidden="1" outlineLevel="1">
      <c r="A426" s="274">
        <f>IF(B426&lt;&gt;"",SUBTOTAL(103,$D$7:$D426),"")</f>
      </c>
      <c r="B426" s="274">
        <f>IF(C426&lt;&gt;"",SUBTOTAL(103,$C$412:$C426),"")</f>
      </c>
      <c r="C426" s="221"/>
      <c r="D426" s="47"/>
      <c r="E426" s="42"/>
      <c r="F426" s="42"/>
      <c r="G426" s="42"/>
      <c r="H426" s="42"/>
      <c r="I426" s="42"/>
      <c r="J426" s="45"/>
      <c r="K426" s="127"/>
      <c r="L426" s="45">
        <v>42491</v>
      </c>
      <c r="M426" s="45">
        <v>42522</v>
      </c>
      <c r="N426" s="128">
        <f t="shared" si="29"/>
        <v>2</v>
      </c>
      <c r="O426" s="129">
        <v>1210000</v>
      </c>
      <c r="P426" s="129"/>
      <c r="Q426" s="129">
        <f>O426*N426*1.5</f>
        <v>3630000</v>
      </c>
      <c r="R426" s="129"/>
      <c r="S426" s="129"/>
      <c r="T426" s="255"/>
      <c r="U426" s="222"/>
    </row>
    <row r="427" spans="1:21" s="204" customFormat="1" ht="27" customHeight="1" collapsed="1">
      <c r="A427" s="274">
        <f>IF(B427&lt;&gt;"",SUBTOTAL(103,$D$7:$D427),"")</f>
        <v>210</v>
      </c>
      <c r="B427" s="274">
        <f>IF(C427&lt;&gt;"",SUBTOTAL(103,$C$412:$C427),"")</f>
        <v>10</v>
      </c>
      <c r="C427" s="221" t="s">
        <v>521</v>
      </c>
      <c r="D427" s="47" t="s">
        <v>522</v>
      </c>
      <c r="E427" s="42" t="s">
        <v>314</v>
      </c>
      <c r="F427" s="42" t="s">
        <v>523</v>
      </c>
      <c r="G427" s="42" t="s">
        <v>346</v>
      </c>
      <c r="H427" s="42" t="s">
        <v>354</v>
      </c>
      <c r="I427" s="42" t="s">
        <v>524</v>
      </c>
      <c r="J427" s="45">
        <v>41944</v>
      </c>
      <c r="K427" s="127">
        <v>14</v>
      </c>
      <c r="L427" s="45">
        <v>42370</v>
      </c>
      <c r="M427" s="45">
        <v>42522</v>
      </c>
      <c r="N427" s="128">
        <f t="shared" si="29"/>
        <v>6</v>
      </c>
      <c r="O427" s="137"/>
      <c r="P427" s="129">
        <f>Q427+R427+S427</f>
        <v>20380000</v>
      </c>
      <c r="Q427" s="129">
        <f>SUM(Q428:Q429)</f>
        <v>10530000</v>
      </c>
      <c r="R427" s="129">
        <f>9850000</f>
        <v>9850000</v>
      </c>
      <c r="S427" s="129">
        <v>0</v>
      </c>
      <c r="T427" s="258" t="s">
        <v>1724</v>
      </c>
      <c r="U427" s="240">
        <v>42660</v>
      </c>
    </row>
    <row r="428" spans="1:21" s="294" customFormat="1" ht="27" customHeight="1" hidden="1" outlineLevel="1">
      <c r="A428" s="274">
        <f>IF(B428&lt;&gt;"",SUBTOTAL(103,$D$7:$D428),"")</f>
      </c>
      <c r="B428" s="274">
        <f>IF(C428&lt;&gt;"",SUBTOTAL(103,$C$412:$C428),"")</f>
      </c>
      <c r="C428" s="221"/>
      <c r="D428" s="47"/>
      <c r="E428" s="42"/>
      <c r="F428" s="42"/>
      <c r="G428" s="42"/>
      <c r="H428" s="42"/>
      <c r="I428" s="42"/>
      <c r="J428" s="45"/>
      <c r="K428" s="127"/>
      <c r="L428" s="45">
        <v>42370</v>
      </c>
      <c r="M428" s="45">
        <v>42461</v>
      </c>
      <c r="N428" s="128">
        <f t="shared" si="29"/>
        <v>4</v>
      </c>
      <c r="O428" s="129">
        <v>1150000</v>
      </c>
      <c r="P428" s="129"/>
      <c r="Q428" s="129">
        <f>O428*N428*1.5</f>
        <v>6900000</v>
      </c>
      <c r="R428" s="129"/>
      <c r="S428" s="129"/>
      <c r="T428" s="255"/>
      <c r="U428" s="222"/>
    </row>
    <row r="429" spans="1:21" s="294" customFormat="1" ht="27" customHeight="1" hidden="1" outlineLevel="1">
      <c r="A429" s="274">
        <f>IF(B429&lt;&gt;"",SUBTOTAL(103,$D$7:$D429),"")</f>
      </c>
      <c r="B429" s="274">
        <f>IF(C429&lt;&gt;"",SUBTOTAL(103,$C$412:$C429),"")</f>
      </c>
      <c r="C429" s="221"/>
      <c r="D429" s="47"/>
      <c r="E429" s="42"/>
      <c r="F429" s="42"/>
      <c r="G429" s="42"/>
      <c r="H429" s="42"/>
      <c r="I429" s="42"/>
      <c r="J429" s="45"/>
      <c r="K429" s="127"/>
      <c r="L429" s="45">
        <v>42491</v>
      </c>
      <c r="M429" s="45">
        <v>42522</v>
      </c>
      <c r="N429" s="128">
        <f t="shared" si="29"/>
        <v>2</v>
      </c>
      <c r="O429" s="129">
        <v>1210000</v>
      </c>
      <c r="P429" s="129"/>
      <c r="Q429" s="129">
        <f>O429*N429*1.5</f>
        <v>3630000</v>
      </c>
      <c r="R429" s="129"/>
      <c r="S429" s="129"/>
      <c r="T429" s="255"/>
      <c r="U429" s="222"/>
    </row>
    <row r="430" spans="1:21" s="204" customFormat="1" ht="27" customHeight="1" collapsed="1">
      <c r="A430" s="274">
        <f>IF(B430&lt;&gt;"",SUBTOTAL(103,$D$7:$D430),"")</f>
        <v>211</v>
      </c>
      <c r="B430" s="274">
        <f>IF(C430&lt;&gt;"",SUBTOTAL(103,$C$412:$C430),"")</f>
        <v>11</v>
      </c>
      <c r="C430" s="221" t="s">
        <v>1726</v>
      </c>
      <c r="D430" s="47" t="s">
        <v>1727</v>
      </c>
      <c r="E430" s="42" t="s">
        <v>789</v>
      </c>
      <c r="F430" s="42" t="s">
        <v>1728</v>
      </c>
      <c r="G430" s="42" t="s">
        <v>1198</v>
      </c>
      <c r="H430" s="42" t="s">
        <v>1286</v>
      </c>
      <c r="I430" s="42" t="s">
        <v>1035</v>
      </c>
      <c r="J430" s="45">
        <v>42401</v>
      </c>
      <c r="K430" s="127">
        <v>0</v>
      </c>
      <c r="L430" s="45">
        <v>42401</v>
      </c>
      <c r="M430" s="45">
        <v>42705</v>
      </c>
      <c r="N430" s="128">
        <f t="shared" si="29"/>
        <v>11</v>
      </c>
      <c r="O430" s="137"/>
      <c r="P430" s="129">
        <f>Q430+R430+S430</f>
        <v>36645000</v>
      </c>
      <c r="Q430" s="129">
        <f>SUM(Q431:Q432)</f>
        <v>19695000</v>
      </c>
      <c r="R430" s="129">
        <f>5925000+5625000+5400000</f>
        <v>16950000</v>
      </c>
      <c r="S430" s="129">
        <v>0</v>
      </c>
      <c r="T430" s="258" t="s">
        <v>332</v>
      </c>
      <c r="U430" s="240">
        <v>42660</v>
      </c>
    </row>
    <row r="431" spans="1:21" s="204" customFormat="1" ht="27" customHeight="1" hidden="1" outlineLevel="1">
      <c r="A431" s="274">
        <f>IF(B431&lt;&gt;"",SUBTOTAL(103,$D$7:$D431),"")</f>
      </c>
      <c r="B431" s="274">
        <f>IF(C431&lt;&gt;"",SUBTOTAL(103,$C$412:$C431),"")</f>
      </c>
      <c r="C431" s="221"/>
      <c r="D431" s="47"/>
      <c r="E431" s="42"/>
      <c r="F431" s="42"/>
      <c r="G431" s="42"/>
      <c r="H431" s="42"/>
      <c r="I431" s="42"/>
      <c r="J431" s="45"/>
      <c r="K431" s="127"/>
      <c r="L431" s="45">
        <v>42401</v>
      </c>
      <c r="M431" s="45">
        <v>42461</v>
      </c>
      <c r="N431" s="128">
        <f t="shared" si="29"/>
        <v>3</v>
      </c>
      <c r="O431" s="129">
        <v>1150000</v>
      </c>
      <c r="P431" s="129"/>
      <c r="Q431" s="129">
        <f>O431*N431*1.5</f>
        <v>5175000</v>
      </c>
      <c r="R431" s="129"/>
      <c r="S431" s="129"/>
      <c r="T431" s="255"/>
      <c r="U431" s="222"/>
    </row>
    <row r="432" spans="1:21" s="204" customFormat="1" ht="27" customHeight="1" hidden="1" outlineLevel="1">
      <c r="A432" s="274">
        <f>IF(B432&lt;&gt;"",SUBTOTAL(103,$D$7:$D432),"")</f>
      </c>
      <c r="B432" s="274">
        <f>IF(C432&lt;&gt;"",SUBTOTAL(103,$C$412:$C432),"")</f>
      </c>
      <c r="C432" s="221"/>
      <c r="D432" s="47"/>
      <c r="E432" s="42"/>
      <c r="F432" s="42"/>
      <c r="G432" s="42"/>
      <c r="H432" s="42"/>
      <c r="I432" s="42"/>
      <c r="J432" s="45"/>
      <c r="K432" s="127"/>
      <c r="L432" s="45">
        <v>42491</v>
      </c>
      <c r="M432" s="45">
        <v>42705</v>
      </c>
      <c r="N432" s="128">
        <f t="shared" si="29"/>
        <v>8</v>
      </c>
      <c r="O432" s="129">
        <v>1210000</v>
      </c>
      <c r="P432" s="129"/>
      <c r="Q432" s="129">
        <f>O432*N432*1.5</f>
        <v>14520000</v>
      </c>
      <c r="R432" s="129"/>
      <c r="S432" s="129"/>
      <c r="T432" s="255"/>
      <c r="U432" s="222"/>
    </row>
    <row r="433" spans="1:21" s="204" customFormat="1" ht="27" customHeight="1" collapsed="1">
      <c r="A433" s="274">
        <f>IF(B433&lt;&gt;"",SUBTOTAL(103,$D$7:$D433),"")</f>
        <v>212</v>
      </c>
      <c r="B433" s="274">
        <f>IF(C433&lt;&gt;"",SUBTOTAL(103,$C$412:$C433),"")</f>
        <v>12</v>
      </c>
      <c r="C433" s="221" t="s">
        <v>1729</v>
      </c>
      <c r="D433" s="47" t="s">
        <v>1730</v>
      </c>
      <c r="E433" s="42" t="s">
        <v>314</v>
      </c>
      <c r="F433" s="42" t="s">
        <v>1731</v>
      </c>
      <c r="G433" s="42" t="s">
        <v>1198</v>
      </c>
      <c r="H433" s="42" t="s">
        <v>1732</v>
      </c>
      <c r="I433" s="42" t="s">
        <v>1733</v>
      </c>
      <c r="J433" s="45">
        <v>42401</v>
      </c>
      <c r="K433" s="127">
        <v>0</v>
      </c>
      <c r="L433" s="45">
        <v>42401</v>
      </c>
      <c r="M433" s="45">
        <v>42705</v>
      </c>
      <c r="N433" s="128">
        <f t="shared" si="29"/>
        <v>11</v>
      </c>
      <c r="O433" s="137"/>
      <c r="P433" s="129">
        <f>Q433+R433+S433</f>
        <v>42445000</v>
      </c>
      <c r="Q433" s="129">
        <f>SUM(Q434:Q435)</f>
        <v>19695000</v>
      </c>
      <c r="R433" s="129">
        <f>10900000+11850000</f>
        <v>22750000</v>
      </c>
      <c r="S433" s="129">
        <v>0</v>
      </c>
      <c r="T433" s="258" t="s">
        <v>332</v>
      </c>
      <c r="U433" s="240">
        <v>42660</v>
      </c>
    </row>
    <row r="434" spans="1:21" s="204" customFormat="1" ht="27" customHeight="1" hidden="1" outlineLevel="1">
      <c r="A434" s="274">
        <f>IF(B434&lt;&gt;"",SUBTOTAL(103,$D$7:$D434),"")</f>
      </c>
      <c r="B434" s="220"/>
      <c r="C434" s="221"/>
      <c r="D434" s="47"/>
      <c r="E434" s="42"/>
      <c r="F434" s="42"/>
      <c r="G434" s="42"/>
      <c r="H434" s="42"/>
      <c r="I434" s="42"/>
      <c r="J434" s="45"/>
      <c r="K434" s="127"/>
      <c r="L434" s="45">
        <v>42401</v>
      </c>
      <c r="M434" s="45">
        <v>42461</v>
      </c>
      <c r="N434" s="128">
        <f t="shared" si="29"/>
        <v>3</v>
      </c>
      <c r="O434" s="129">
        <v>1150000</v>
      </c>
      <c r="P434" s="129"/>
      <c r="Q434" s="129">
        <f>O434*N434*1.5</f>
        <v>5175000</v>
      </c>
      <c r="R434" s="129"/>
      <c r="S434" s="129"/>
      <c r="T434" s="255"/>
      <c r="U434" s="222"/>
    </row>
    <row r="435" spans="1:21" s="204" customFormat="1" ht="27" customHeight="1" hidden="1" outlineLevel="1">
      <c r="A435" s="274">
        <f>IF(B435&lt;&gt;"",SUBTOTAL(103,$D$7:$D435),"")</f>
      </c>
      <c r="B435" s="220"/>
      <c r="C435" s="221"/>
      <c r="D435" s="47"/>
      <c r="E435" s="42"/>
      <c r="F435" s="42"/>
      <c r="G435" s="42"/>
      <c r="H435" s="42"/>
      <c r="I435" s="42"/>
      <c r="J435" s="45"/>
      <c r="K435" s="127"/>
      <c r="L435" s="45">
        <v>42491</v>
      </c>
      <c r="M435" s="45">
        <v>42705</v>
      </c>
      <c r="N435" s="128">
        <f t="shared" si="29"/>
        <v>8</v>
      </c>
      <c r="O435" s="129">
        <v>1210000</v>
      </c>
      <c r="P435" s="129"/>
      <c r="Q435" s="129">
        <f>O435*N435*1.5</f>
        <v>14520000</v>
      </c>
      <c r="R435" s="129"/>
      <c r="S435" s="129"/>
      <c r="T435" s="255"/>
      <c r="U435" s="222"/>
    </row>
    <row r="436" spans="1:21" s="273" customFormat="1" ht="27" customHeight="1" collapsed="1">
      <c r="A436" s="274">
        <f>IF(B436&lt;&gt;"",SUBTOTAL(103,$D$7:$D436),"")</f>
      </c>
      <c r="B436" s="213"/>
      <c r="C436" s="214" t="s">
        <v>218</v>
      </c>
      <c r="D436" s="218"/>
      <c r="E436" s="7"/>
      <c r="F436" s="7"/>
      <c r="G436" s="7"/>
      <c r="H436" s="7"/>
      <c r="I436" s="7"/>
      <c r="J436" s="136"/>
      <c r="K436" s="20"/>
      <c r="L436" s="21"/>
      <c r="M436" s="21"/>
      <c r="N436" s="22"/>
      <c r="O436" s="11"/>
      <c r="P436" s="12">
        <f>SUBTOTAL(109,P437:P444)</f>
        <v>146320000</v>
      </c>
      <c r="Q436" s="12">
        <f>SUBTOTAL(109,Q437:Q444)</f>
        <v>56820000</v>
      </c>
      <c r="R436" s="12">
        <f>SUBTOTAL(109,R437:R444)</f>
        <v>55000000</v>
      </c>
      <c r="S436" s="12">
        <f>SUBTOTAL(109,S437:S444)</f>
        <v>34500000</v>
      </c>
      <c r="T436" s="140"/>
      <c r="U436" s="216"/>
    </row>
    <row r="437" spans="1:21" s="204" customFormat="1" ht="27" customHeight="1">
      <c r="A437" s="274">
        <f>IF(B437&lt;&gt;"",SUBTOTAL(103,$D$7:$D437),"")</f>
        <v>213</v>
      </c>
      <c r="B437" s="220">
        <f>IF(C437&lt;&gt;"",SUBTOTAL(103,$C$437:$C437),"")</f>
        <v>1</v>
      </c>
      <c r="C437" s="221" t="s">
        <v>905</v>
      </c>
      <c r="D437" s="47" t="s">
        <v>582</v>
      </c>
      <c r="E437" s="42" t="s">
        <v>583</v>
      </c>
      <c r="F437" s="42" t="s">
        <v>584</v>
      </c>
      <c r="G437" s="42" t="s">
        <v>341</v>
      </c>
      <c r="H437" s="42" t="s">
        <v>1137</v>
      </c>
      <c r="I437" s="42" t="s">
        <v>75</v>
      </c>
      <c r="J437" s="45">
        <v>41609</v>
      </c>
      <c r="K437" s="128">
        <v>20</v>
      </c>
      <c r="L437" s="45">
        <v>42370</v>
      </c>
      <c r="M437" s="45">
        <v>42644</v>
      </c>
      <c r="N437" s="128">
        <f aca="true" t="shared" si="30" ref="N437:N442">DATEDIF(L437,M437,"m")+1</f>
        <v>10</v>
      </c>
      <c r="O437" s="129"/>
      <c r="P437" s="129">
        <f>Q437+R437+S437</f>
        <v>32415000</v>
      </c>
      <c r="Q437" s="129">
        <f>SUM(Q438:Q439)</f>
        <v>17790000</v>
      </c>
      <c r="R437" s="129">
        <v>14625000</v>
      </c>
      <c r="S437" s="129">
        <v>0</v>
      </c>
      <c r="T437" s="264"/>
      <c r="U437" s="222"/>
    </row>
    <row r="438" spans="1:21" s="204" customFormat="1" ht="27" customHeight="1" hidden="1" outlineLevel="1">
      <c r="A438" s="274">
        <f>IF(B438&lt;&gt;"",SUBTOTAL(103,$D$7:$D438),"")</f>
      </c>
      <c r="B438" s="220">
        <f>IF(C438&lt;&gt;"",SUBTOTAL(103,$C$437:$C438),"")</f>
      </c>
      <c r="C438" s="221"/>
      <c r="D438" s="47"/>
      <c r="E438" s="42"/>
      <c r="F438" s="42"/>
      <c r="G438" s="42"/>
      <c r="H438" s="42"/>
      <c r="I438" s="42"/>
      <c r="J438" s="45"/>
      <c r="K438" s="128"/>
      <c r="L438" s="45">
        <v>42370</v>
      </c>
      <c r="M438" s="45">
        <v>42461</v>
      </c>
      <c r="N438" s="128">
        <f t="shared" si="30"/>
        <v>4</v>
      </c>
      <c r="O438" s="137">
        <v>1150000</v>
      </c>
      <c r="P438" s="129"/>
      <c r="Q438" s="129">
        <f>N438*O438*1.5</f>
        <v>6900000</v>
      </c>
      <c r="R438" s="129"/>
      <c r="S438" s="129"/>
      <c r="T438" s="264"/>
      <c r="U438" s="222"/>
    </row>
    <row r="439" spans="1:21" s="204" customFormat="1" ht="27" customHeight="1" hidden="1" outlineLevel="1">
      <c r="A439" s="274">
        <f>IF(B439&lt;&gt;"",SUBTOTAL(103,$D$7:$D439),"")</f>
      </c>
      <c r="B439" s="220">
        <f>IF(C439&lt;&gt;"",SUBTOTAL(103,$C$437:$C439),"")</f>
      </c>
      <c r="C439" s="221"/>
      <c r="D439" s="47"/>
      <c r="E439" s="42"/>
      <c r="F439" s="42"/>
      <c r="G439" s="42"/>
      <c r="H439" s="42"/>
      <c r="I439" s="42"/>
      <c r="J439" s="45"/>
      <c r="K439" s="128"/>
      <c r="L439" s="45">
        <v>42491</v>
      </c>
      <c r="M439" s="45">
        <v>42644</v>
      </c>
      <c r="N439" s="128">
        <f t="shared" si="30"/>
        <v>6</v>
      </c>
      <c r="O439" s="137">
        <v>1210000</v>
      </c>
      <c r="P439" s="129"/>
      <c r="Q439" s="129">
        <f>N439*O439*1.5</f>
        <v>10890000</v>
      </c>
      <c r="R439" s="129"/>
      <c r="S439" s="129"/>
      <c r="T439" s="264"/>
      <c r="U439" s="222"/>
    </row>
    <row r="440" spans="1:21" s="204" customFormat="1" ht="27" customHeight="1" collapsed="1">
      <c r="A440" s="274">
        <f>IF(B440&lt;&gt;"",SUBTOTAL(103,$D$7:$D440),"")</f>
        <v>214</v>
      </c>
      <c r="B440" s="220">
        <f>IF(C440&lt;&gt;"",SUBTOTAL(103,$C$437:$C440),"")</f>
        <v>2</v>
      </c>
      <c r="C440" s="221" t="s">
        <v>906</v>
      </c>
      <c r="D440" s="47" t="s">
        <v>320</v>
      </c>
      <c r="E440" s="42" t="s">
        <v>321</v>
      </c>
      <c r="F440" s="42" t="s">
        <v>322</v>
      </c>
      <c r="G440" s="42" t="s">
        <v>341</v>
      </c>
      <c r="H440" s="42" t="s">
        <v>888</v>
      </c>
      <c r="I440" s="42" t="s">
        <v>1005</v>
      </c>
      <c r="J440" s="45">
        <v>41760</v>
      </c>
      <c r="K440" s="127">
        <v>20</v>
      </c>
      <c r="L440" s="45">
        <v>42370</v>
      </c>
      <c r="M440" s="45">
        <v>42644</v>
      </c>
      <c r="N440" s="128">
        <f t="shared" si="30"/>
        <v>10</v>
      </c>
      <c r="O440" s="217"/>
      <c r="P440" s="129">
        <f>Q440+R440+S440</f>
        <v>31360000</v>
      </c>
      <c r="Q440" s="129">
        <f>SUM(Q441:Q442)</f>
        <v>17610000</v>
      </c>
      <c r="R440" s="129">
        <v>13750000</v>
      </c>
      <c r="S440" s="129">
        <v>0</v>
      </c>
      <c r="T440" s="258" t="s">
        <v>1181</v>
      </c>
      <c r="U440" s="222"/>
    </row>
    <row r="441" spans="1:21" s="204" customFormat="1" ht="27" customHeight="1" hidden="1" outlineLevel="1">
      <c r="A441" s="274">
        <f>IF(B441&lt;&gt;"",SUBTOTAL(103,$D$7:$D441),"")</f>
      </c>
      <c r="B441" s="220">
        <f>IF(C441&lt;&gt;"",SUBTOTAL(103,$C$437:$C441),"")</f>
      </c>
      <c r="C441" s="221"/>
      <c r="D441" s="47"/>
      <c r="E441" s="42"/>
      <c r="F441" s="42"/>
      <c r="G441" s="42"/>
      <c r="H441" s="42"/>
      <c r="I441" s="42"/>
      <c r="J441" s="45"/>
      <c r="K441" s="127"/>
      <c r="L441" s="45">
        <v>42370</v>
      </c>
      <c r="M441" s="45">
        <v>42461</v>
      </c>
      <c r="N441" s="128">
        <f t="shared" si="30"/>
        <v>4</v>
      </c>
      <c r="O441" s="58">
        <v>1150000</v>
      </c>
      <c r="P441" s="129"/>
      <c r="Q441" s="129">
        <f>N441*O442*1.5</f>
        <v>7260000</v>
      </c>
      <c r="R441" s="129"/>
      <c r="S441" s="129"/>
      <c r="T441" s="265"/>
      <c r="U441" s="222"/>
    </row>
    <row r="442" spans="1:21" s="204" customFormat="1" ht="27" customHeight="1" hidden="1" outlineLevel="1">
      <c r="A442" s="274">
        <f>IF(B442&lt;&gt;"",SUBTOTAL(103,$D$7:$D442),"")</f>
      </c>
      <c r="B442" s="220">
        <f>IF(C442&lt;&gt;"",SUBTOTAL(103,$C$437:$C442),"")</f>
      </c>
      <c r="C442" s="221"/>
      <c r="D442" s="47"/>
      <c r="E442" s="42"/>
      <c r="F442" s="42"/>
      <c r="G442" s="42"/>
      <c r="H442" s="42"/>
      <c r="I442" s="42"/>
      <c r="J442" s="45"/>
      <c r="K442" s="127"/>
      <c r="L442" s="45">
        <v>42491</v>
      </c>
      <c r="M442" s="45">
        <v>42644</v>
      </c>
      <c r="N442" s="128">
        <f t="shared" si="30"/>
        <v>6</v>
      </c>
      <c r="O442" s="137">
        <v>1210000</v>
      </c>
      <c r="P442" s="129"/>
      <c r="Q442" s="129">
        <f>N442*O443*1.5</f>
        <v>10350000</v>
      </c>
      <c r="R442" s="129"/>
      <c r="S442" s="129"/>
      <c r="T442" s="265"/>
      <c r="U442" s="222"/>
    </row>
    <row r="443" spans="1:21" s="204" customFormat="1" ht="27" customHeight="1" collapsed="1">
      <c r="A443" s="274">
        <f>IF(B443&lt;&gt;"",SUBTOTAL(103,$D$7:$D443),"")</f>
        <v>215</v>
      </c>
      <c r="B443" s="220">
        <f>IF(C443&lt;&gt;"",SUBTOTAL(103,$C$437:$C443),"")</f>
        <v>3</v>
      </c>
      <c r="C443" s="221" t="s">
        <v>909</v>
      </c>
      <c r="D443" s="47" t="s">
        <v>585</v>
      </c>
      <c r="E443" s="42" t="s">
        <v>321</v>
      </c>
      <c r="F443" s="42" t="s">
        <v>586</v>
      </c>
      <c r="G443" s="42" t="s">
        <v>346</v>
      </c>
      <c r="H443" s="42" t="s">
        <v>477</v>
      </c>
      <c r="I443" s="42" t="s">
        <v>1005</v>
      </c>
      <c r="J443" s="45">
        <v>41609</v>
      </c>
      <c r="K443" s="128">
        <v>20</v>
      </c>
      <c r="L443" s="362" t="s">
        <v>46</v>
      </c>
      <c r="M443" s="363"/>
      <c r="N443" s="128">
        <v>0</v>
      </c>
      <c r="O443" s="129">
        <v>1150000</v>
      </c>
      <c r="P443" s="129">
        <f>Q443+R443+S443</f>
        <v>38500000</v>
      </c>
      <c r="Q443" s="129">
        <f>N443*O443*1.5</f>
        <v>0</v>
      </c>
      <c r="R443" s="129">
        <v>4000000</v>
      </c>
      <c r="S443" s="129">
        <v>34500000</v>
      </c>
      <c r="T443" s="264" t="s">
        <v>1280</v>
      </c>
      <c r="U443" s="222"/>
    </row>
    <row r="444" spans="1:21" s="204" customFormat="1" ht="27" customHeight="1">
      <c r="A444" s="274">
        <f>IF(B444&lt;&gt;"",SUBTOTAL(103,$D$7:$D444),"")</f>
        <v>216</v>
      </c>
      <c r="B444" s="220">
        <f>IF(C444&lt;&gt;"",SUBTOTAL(103,$C$437:$C444),"")</f>
        <v>4</v>
      </c>
      <c r="C444" s="245" t="s">
        <v>219</v>
      </c>
      <c r="D444" s="275" t="s">
        <v>907</v>
      </c>
      <c r="E444" s="43" t="s">
        <v>314</v>
      </c>
      <c r="F444" s="43" t="s">
        <v>908</v>
      </c>
      <c r="G444" s="43" t="s">
        <v>341</v>
      </c>
      <c r="H444" s="43" t="s">
        <v>720</v>
      </c>
      <c r="I444" s="43" t="s">
        <v>75</v>
      </c>
      <c r="J444" s="45">
        <v>41913</v>
      </c>
      <c r="K444" s="56">
        <v>15</v>
      </c>
      <c r="L444" s="45">
        <v>42370</v>
      </c>
      <c r="M444" s="45">
        <v>42705</v>
      </c>
      <c r="N444" s="128">
        <f>DATEDIF(L444,M444,"m")+1</f>
        <v>12</v>
      </c>
      <c r="O444" s="129"/>
      <c r="P444" s="129">
        <f>Q444+R444+S444</f>
        <v>44045000</v>
      </c>
      <c r="Q444" s="129">
        <f>SUM(Q445:Q446)</f>
        <v>21420000</v>
      </c>
      <c r="R444" s="129">
        <v>22625000</v>
      </c>
      <c r="S444" s="129">
        <v>0</v>
      </c>
      <c r="T444" s="256" t="s">
        <v>1182</v>
      </c>
      <c r="U444" s="242"/>
    </row>
    <row r="445" spans="1:21" s="204" customFormat="1" ht="27" customHeight="1" hidden="1" outlineLevel="2">
      <c r="A445" s="274">
        <f>IF(B445&lt;&gt;"",SUBTOTAL(103,$D$7:$D445),"")</f>
      </c>
      <c r="B445" s="274"/>
      <c r="C445" s="245"/>
      <c r="D445" s="275"/>
      <c r="E445" s="43"/>
      <c r="F445" s="43"/>
      <c r="G445" s="43"/>
      <c r="H445" s="43"/>
      <c r="I445" s="43"/>
      <c r="J445" s="45"/>
      <c r="K445" s="56"/>
      <c r="L445" s="45">
        <v>42370</v>
      </c>
      <c r="M445" s="45">
        <v>42461</v>
      </c>
      <c r="N445" s="128">
        <f>DATEDIF(L445,M445,"m")+1</f>
        <v>4</v>
      </c>
      <c r="O445" s="58">
        <v>1150000</v>
      </c>
      <c r="P445" s="129"/>
      <c r="Q445" s="129">
        <f>N445*O445*1.5</f>
        <v>6900000</v>
      </c>
      <c r="R445" s="129"/>
      <c r="S445" s="129"/>
      <c r="T445" s="256"/>
      <c r="U445" s="242"/>
    </row>
    <row r="446" spans="1:21" s="204" customFormat="1" ht="27" customHeight="1" hidden="1" outlineLevel="2">
      <c r="A446" s="274">
        <f>IF(B446&lt;&gt;"",SUBTOTAL(103,$D$7:$D446),"")</f>
      </c>
      <c r="B446" s="274"/>
      <c r="C446" s="245"/>
      <c r="D446" s="275"/>
      <c r="E446" s="43"/>
      <c r="F446" s="43"/>
      <c r="G446" s="43"/>
      <c r="H446" s="43"/>
      <c r="I446" s="43"/>
      <c r="J446" s="45"/>
      <c r="K446" s="56"/>
      <c r="L446" s="45">
        <v>42491</v>
      </c>
      <c r="M446" s="45">
        <v>42705</v>
      </c>
      <c r="N446" s="128">
        <f>DATEDIF(L446,M446,"m")+1</f>
        <v>8</v>
      </c>
      <c r="O446" s="137">
        <v>1210000</v>
      </c>
      <c r="P446" s="129"/>
      <c r="Q446" s="129">
        <f>N446*O446*1.5</f>
        <v>14520000</v>
      </c>
      <c r="R446" s="129"/>
      <c r="S446" s="129"/>
      <c r="T446" s="256"/>
      <c r="U446" s="242"/>
    </row>
    <row r="447" spans="1:21" s="273" customFormat="1" ht="27" customHeight="1" collapsed="1">
      <c r="A447" s="274">
        <f>IF(B447&lt;&gt;"",SUBTOTAL(103,$D$7:$D447),"")</f>
      </c>
      <c r="B447" s="213"/>
      <c r="C447" s="214" t="s">
        <v>546</v>
      </c>
      <c r="D447" s="218"/>
      <c r="E447" s="7"/>
      <c r="F447" s="7"/>
      <c r="G447" s="7"/>
      <c r="H447" s="7"/>
      <c r="I447" s="7"/>
      <c r="J447" s="136"/>
      <c r="K447" s="20"/>
      <c r="L447" s="21"/>
      <c r="M447" s="21"/>
      <c r="N447" s="22"/>
      <c r="O447" s="11"/>
      <c r="P447" s="12">
        <f>SUBTOTAL(109,P448:P462)</f>
        <v>145010000</v>
      </c>
      <c r="Q447" s="12">
        <f>SUBTOTAL(109,Q448:Q462)</f>
        <v>92040000</v>
      </c>
      <c r="R447" s="12">
        <f>SUBTOTAL(109,R448:R462)</f>
        <v>52970000</v>
      </c>
      <c r="S447" s="12">
        <f>SUBTOTAL(109,S448:S462)</f>
        <v>0</v>
      </c>
      <c r="T447" s="140"/>
      <c r="U447" s="216"/>
    </row>
    <row r="448" spans="1:21" s="204" customFormat="1" ht="27" customHeight="1">
      <c r="A448" s="274">
        <f>IF(B448&lt;&gt;"",SUBTOTAL(103,$D$7:$D448),"")</f>
        <v>217</v>
      </c>
      <c r="B448" s="220">
        <f>IF(C448&lt;&gt;"",SUBTOTAL(103,$C$448:$C448),"")</f>
        <v>1</v>
      </c>
      <c r="C448" s="221" t="s">
        <v>812</v>
      </c>
      <c r="D448" s="47" t="s">
        <v>813</v>
      </c>
      <c r="E448" s="42" t="s">
        <v>814</v>
      </c>
      <c r="F448" s="42" t="s">
        <v>815</v>
      </c>
      <c r="G448" s="42" t="s">
        <v>346</v>
      </c>
      <c r="H448" s="42" t="s">
        <v>633</v>
      </c>
      <c r="I448" s="42" t="s">
        <v>816</v>
      </c>
      <c r="J448" s="45">
        <v>41913</v>
      </c>
      <c r="K448" s="128">
        <v>15</v>
      </c>
      <c r="L448" s="45">
        <v>42370</v>
      </c>
      <c r="M448" s="45">
        <v>42521</v>
      </c>
      <c r="N448" s="128">
        <f aca="true" t="shared" si="31" ref="N448:N462">DATEDIF(L448,M448,"m")+1</f>
        <v>5</v>
      </c>
      <c r="O448" s="129"/>
      <c r="P448" s="129">
        <f>Q448+R448+S448</f>
        <v>12760000</v>
      </c>
      <c r="Q448" s="129">
        <f>SUM(Q449:Q450)</f>
        <v>8715000</v>
      </c>
      <c r="R448" s="129">
        <v>4045000</v>
      </c>
      <c r="S448" s="129">
        <v>0</v>
      </c>
      <c r="T448" s="258" t="s">
        <v>1300</v>
      </c>
      <c r="U448" s="222"/>
    </row>
    <row r="449" spans="1:21" s="204" customFormat="1" ht="27" customHeight="1" hidden="1" outlineLevel="2">
      <c r="A449" s="274">
        <f>IF(B449&lt;&gt;"",SUBTOTAL(103,$D$7:$D449),"")</f>
      </c>
      <c r="B449" s="220">
        <f>IF(C449&lt;&gt;"",SUBTOTAL(103,$C$448:$C449),"")</f>
      </c>
      <c r="C449" s="221"/>
      <c r="D449" s="47"/>
      <c r="E449" s="42"/>
      <c r="F449" s="42"/>
      <c r="G449" s="42"/>
      <c r="H449" s="42"/>
      <c r="I449" s="42"/>
      <c r="J449" s="45"/>
      <c r="K449" s="128"/>
      <c r="L449" s="45">
        <v>42370</v>
      </c>
      <c r="M449" s="45">
        <v>42461</v>
      </c>
      <c r="N449" s="128">
        <f t="shared" si="31"/>
        <v>4</v>
      </c>
      <c r="O449" s="58">
        <v>1150000</v>
      </c>
      <c r="P449" s="129"/>
      <c r="Q449" s="129">
        <f>N449*O449*1.5</f>
        <v>6900000</v>
      </c>
      <c r="R449" s="129"/>
      <c r="S449" s="129"/>
      <c r="T449" s="258"/>
      <c r="U449" s="222"/>
    </row>
    <row r="450" spans="1:21" s="204" customFormat="1" ht="27" customHeight="1" hidden="1" outlineLevel="2">
      <c r="A450" s="274">
        <f>IF(B450&lt;&gt;"",SUBTOTAL(103,$D$7:$D450),"")</f>
      </c>
      <c r="B450" s="220">
        <f>IF(C450&lt;&gt;"",SUBTOTAL(103,$C$448:$C450),"")</f>
      </c>
      <c r="C450" s="221"/>
      <c r="D450" s="47"/>
      <c r="E450" s="42"/>
      <c r="F450" s="42"/>
      <c r="G450" s="42"/>
      <c r="H450" s="42"/>
      <c r="I450" s="42"/>
      <c r="J450" s="45"/>
      <c r="K450" s="128"/>
      <c r="L450" s="45">
        <v>42491</v>
      </c>
      <c r="M450" s="45">
        <v>42521</v>
      </c>
      <c r="N450" s="128">
        <f t="shared" si="31"/>
        <v>1</v>
      </c>
      <c r="O450" s="137">
        <v>1210000</v>
      </c>
      <c r="P450" s="129"/>
      <c r="Q450" s="129">
        <f>N450*O450*1.5</f>
        <v>1815000</v>
      </c>
      <c r="R450" s="129"/>
      <c r="S450" s="129"/>
      <c r="T450" s="258"/>
      <c r="U450" s="222"/>
    </row>
    <row r="451" spans="1:21" s="204" customFormat="1" ht="27" customHeight="1" collapsed="1">
      <c r="A451" s="274">
        <f>IF(B451&lt;&gt;"",SUBTOTAL(103,$D$7:$D451),"")</f>
        <v>218</v>
      </c>
      <c r="B451" s="220">
        <f>IF(C451&lt;&gt;"",SUBTOTAL(103,$C$448:$C451),"")</f>
        <v>2</v>
      </c>
      <c r="C451" s="221" t="s">
        <v>999</v>
      </c>
      <c r="D451" s="47" t="s">
        <v>1000</v>
      </c>
      <c r="E451" s="42" t="s">
        <v>547</v>
      </c>
      <c r="F451" s="42" t="s">
        <v>1001</v>
      </c>
      <c r="G451" s="42" t="s">
        <v>346</v>
      </c>
      <c r="H451" s="42" t="s">
        <v>317</v>
      </c>
      <c r="I451" s="42" t="s">
        <v>378</v>
      </c>
      <c r="J451" s="45">
        <v>41913</v>
      </c>
      <c r="K451" s="127">
        <v>15</v>
      </c>
      <c r="L451" s="45">
        <v>42370</v>
      </c>
      <c r="M451" s="45">
        <v>42521</v>
      </c>
      <c r="N451" s="128">
        <f t="shared" si="31"/>
        <v>5</v>
      </c>
      <c r="O451" s="137"/>
      <c r="P451" s="129">
        <f>Q451+R451+S451</f>
        <v>18015000</v>
      </c>
      <c r="Q451" s="129">
        <f>SUM(Q452,Q453)</f>
        <v>8715000</v>
      </c>
      <c r="R451" s="129">
        <v>9300000</v>
      </c>
      <c r="S451" s="129">
        <v>0</v>
      </c>
      <c r="T451" s="258" t="s">
        <v>1183</v>
      </c>
      <c r="U451" s="222"/>
    </row>
    <row r="452" spans="1:21" s="204" customFormat="1" ht="27" customHeight="1" hidden="1" outlineLevel="2">
      <c r="A452" s="274">
        <f>IF(B452&lt;&gt;"",SUBTOTAL(103,$D$7:$D452),"")</f>
      </c>
      <c r="B452" s="220">
        <f>IF(C452&lt;&gt;"",SUBTOTAL(103,$C$448:$C452),"")</f>
      </c>
      <c r="C452" s="221"/>
      <c r="D452" s="47"/>
      <c r="E452" s="42"/>
      <c r="F452" s="42"/>
      <c r="G452" s="42"/>
      <c r="H452" s="42"/>
      <c r="I452" s="42"/>
      <c r="J452" s="45"/>
      <c r="K452" s="127"/>
      <c r="L452" s="45">
        <v>42370</v>
      </c>
      <c r="M452" s="45">
        <v>42461</v>
      </c>
      <c r="N452" s="128">
        <f t="shared" si="31"/>
        <v>4</v>
      </c>
      <c r="O452" s="58">
        <v>1150000</v>
      </c>
      <c r="P452" s="129"/>
      <c r="Q452" s="129">
        <f>N452*O452*1.5</f>
        <v>6900000</v>
      </c>
      <c r="R452" s="129"/>
      <c r="S452" s="129"/>
      <c r="T452" s="258"/>
      <c r="U452" s="222"/>
    </row>
    <row r="453" spans="1:21" s="204" customFormat="1" ht="27" customHeight="1" hidden="1" outlineLevel="2">
      <c r="A453" s="274">
        <f>IF(B453&lt;&gt;"",SUBTOTAL(103,$D$7:$D453),"")</f>
      </c>
      <c r="B453" s="220">
        <f>IF(C453&lt;&gt;"",SUBTOTAL(103,$C$448:$C453),"")</f>
      </c>
      <c r="C453" s="221"/>
      <c r="D453" s="47"/>
      <c r="E453" s="42"/>
      <c r="F453" s="42"/>
      <c r="G453" s="42"/>
      <c r="H453" s="42"/>
      <c r="I453" s="42"/>
      <c r="J453" s="45"/>
      <c r="K453" s="127"/>
      <c r="L453" s="45">
        <v>42491</v>
      </c>
      <c r="M453" s="45">
        <v>42521</v>
      </c>
      <c r="N453" s="128">
        <f t="shared" si="31"/>
        <v>1</v>
      </c>
      <c r="O453" s="137">
        <v>1210000</v>
      </c>
      <c r="P453" s="129"/>
      <c r="Q453" s="129">
        <f>N453*O453*1.5</f>
        <v>1815000</v>
      </c>
      <c r="R453" s="129"/>
      <c r="S453" s="129"/>
      <c r="T453" s="258"/>
      <c r="U453" s="222"/>
    </row>
    <row r="454" spans="1:21" s="204" customFormat="1" ht="27" customHeight="1" collapsed="1">
      <c r="A454" s="274">
        <f>IF(B454&lt;&gt;"",SUBTOTAL(103,$D$7:$D454),"")</f>
        <v>219</v>
      </c>
      <c r="B454" s="220">
        <f>IF(C454&lt;&gt;"",SUBTOTAL(103,$C$448:$C454),"")</f>
        <v>3</v>
      </c>
      <c r="C454" s="221" t="s">
        <v>1184</v>
      </c>
      <c r="D454" s="47" t="s">
        <v>1185</v>
      </c>
      <c r="E454" s="42" t="s">
        <v>1186</v>
      </c>
      <c r="F454" s="42" t="s">
        <v>1187</v>
      </c>
      <c r="G454" s="42" t="s">
        <v>341</v>
      </c>
      <c r="H454" s="42" t="s">
        <v>317</v>
      </c>
      <c r="I454" s="42" t="s">
        <v>1188</v>
      </c>
      <c r="J454" s="45">
        <v>42339</v>
      </c>
      <c r="K454" s="127">
        <v>0</v>
      </c>
      <c r="L454" s="45">
        <v>42339</v>
      </c>
      <c r="M454" s="45">
        <v>42705</v>
      </c>
      <c r="N454" s="128">
        <f t="shared" si="31"/>
        <v>13</v>
      </c>
      <c r="O454" s="137"/>
      <c r="P454" s="129">
        <f>Q454+R454+S454</f>
        <v>38395000</v>
      </c>
      <c r="Q454" s="129">
        <f>SUM(Q455:Q456)</f>
        <v>23145000</v>
      </c>
      <c r="R454" s="129">
        <f>7625000+7625000</f>
        <v>15250000</v>
      </c>
      <c r="S454" s="129">
        <v>0</v>
      </c>
      <c r="T454" s="258" t="s">
        <v>2079</v>
      </c>
      <c r="U454" s="222"/>
    </row>
    <row r="455" spans="1:21" s="204" customFormat="1" ht="27" customHeight="1" hidden="1" outlineLevel="1">
      <c r="A455" s="274">
        <f>IF(B455&lt;&gt;"",SUBTOTAL(103,$D$7:$D455),"")</f>
      </c>
      <c r="B455" s="220">
        <f>IF(C455&lt;&gt;"",SUBTOTAL(103,$C$448:$C455),"")</f>
      </c>
      <c r="C455" s="221"/>
      <c r="D455" s="47"/>
      <c r="E455" s="42"/>
      <c r="F455" s="42"/>
      <c r="G455" s="42"/>
      <c r="H455" s="42"/>
      <c r="I455" s="42"/>
      <c r="J455" s="45"/>
      <c r="K455" s="127"/>
      <c r="L455" s="45">
        <v>42339</v>
      </c>
      <c r="M455" s="45">
        <v>42461</v>
      </c>
      <c r="N455" s="128">
        <f t="shared" si="31"/>
        <v>5</v>
      </c>
      <c r="O455" s="58">
        <v>1150000</v>
      </c>
      <c r="P455" s="129"/>
      <c r="Q455" s="129">
        <f>N455*O455*1.5</f>
        <v>8625000</v>
      </c>
      <c r="R455" s="129"/>
      <c r="S455" s="129"/>
      <c r="T455" s="258"/>
      <c r="U455" s="222"/>
    </row>
    <row r="456" spans="1:21" s="204" customFormat="1" ht="27" customHeight="1" hidden="1" outlineLevel="1">
      <c r="A456" s="274">
        <f>IF(B456&lt;&gt;"",SUBTOTAL(103,$D$7:$D456),"")</f>
      </c>
      <c r="B456" s="220">
        <f>IF(C456&lt;&gt;"",SUBTOTAL(103,$C$448:$C456),"")</f>
      </c>
      <c r="C456" s="221"/>
      <c r="D456" s="47"/>
      <c r="E456" s="42"/>
      <c r="F456" s="42"/>
      <c r="G456" s="42"/>
      <c r="H456" s="42"/>
      <c r="I456" s="42"/>
      <c r="J456" s="45"/>
      <c r="K456" s="127"/>
      <c r="L456" s="45">
        <v>42491</v>
      </c>
      <c r="M456" s="45">
        <v>42705</v>
      </c>
      <c r="N456" s="128">
        <f t="shared" si="31"/>
        <v>8</v>
      </c>
      <c r="O456" s="137">
        <v>1210000</v>
      </c>
      <c r="P456" s="129"/>
      <c r="Q456" s="129">
        <f>N456*O456*1.5</f>
        <v>14520000</v>
      </c>
      <c r="R456" s="129"/>
      <c r="S456" s="129"/>
      <c r="T456" s="258"/>
      <c r="U456" s="222"/>
    </row>
    <row r="457" spans="1:21" s="204" customFormat="1" ht="27" customHeight="1" collapsed="1">
      <c r="A457" s="274">
        <f>IF(B457&lt;&gt;"",SUBTOTAL(103,$D$7:$D457),"")</f>
        <v>220</v>
      </c>
      <c r="B457" s="220">
        <f>IF(C457&lt;&gt;"",SUBTOTAL(103,$C$448:$C457),"")</f>
        <v>4</v>
      </c>
      <c r="C457" s="221" t="s">
        <v>1190</v>
      </c>
      <c r="D457" s="47" t="s">
        <v>1191</v>
      </c>
      <c r="E457" s="42" t="s">
        <v>1192</v>
      </c>
      <c r="F457" s="42" t="s">
        <v>1193</v>
      </c>
      <c r="G457" s="42" t="s">
        <v>341</v>
      </c>
      <c r="H457" s="42" t="s">
        <v>775</v>
      </c>
      <c r="I457" s="42" t="s">
        <v>1194</v>
      </c>
      <c r="J457" s="45">
        <v>42278</v>
      </c>
      <c r="K457" s="127">
        <v>0</v>
      </c>
      <c r="L457" s="45">
        <v>42278</v>
      </c>
      <c r="M457" s="45">
        <v>42705</v>
      </c>
      <c r="N457" s="128">
        <f t="shared" si="31"/>
        <v>15</v>
      </c>
      <c r="O457" s="137"/>
      <c r="P457" s="129">
        <f>Q457+R457+S457</f>
        <v>40445000</v>
      </c>
      <c r="Q457" s="129">
        <f>SUM(Q458:Q459)</f>
        <v>26595000</v>
      </c>
      <c r="R457" s="129">
        <v>13850000</v>
      </c>
      <c r="S457" s="129">
        <v>0</v>
      </c>
      <c r="T457" s="258" t="s">
        <v>1967</v>
      </c>
      <c r="U457" s="222"/>
    </row>
    <row r="458" spans="1:21" s="204" customFormat="1" ht="27" customHeight="1" hidden="1" outlineLevel="1">
      <c r="A458" s="274">
        <f>IF(B458&lt;&gt;"",SUBTOTAL(103,$D$7:$D458),"")</f>
      </c>
      <c r="B458" s="220">
        <f>IF(C458&lt;&gt;"",SUBTOTAL(103,$C$448:$C458),"")</f>
      </c>
      <c r="C458" s="221"/>
      <c r="D458" s="47"/>
      <c r="E458" s="42"/>
      <c r="F458" s="42"/>
      <c r="G458" s="42"/>
      <c r="H458" s="42"/>
      <c r="I458" s="42"/>
      <c r="J458" s="45"/>
      <c r="K458" s="127"/>
      <c r="L458" s="45">
        <v>42278</v>
      </c>
      <c r="M458" s="45">
        <v>42461</v>
      </c>
      <c r="N458" s="128">
        <f t="shared" si="31"/>
        <v>7</v>
      </c>
      <c r="O458" s="58">
        <v>1150000</v>
      </c>
      <c r="P458" s="129"/>
      <c r="Q458" s="129">
        <f>N458*O458*1.5</f>
        <v>12075000</v>
      </c>
      <c r="R458" s="129"/>
      <c r="S458" s="129"/>
      <c r="T458" s="258"/>
      <c r="U458" s="222"/>
    </row>
    <row r="459" spans="1:21" s="204" customFormat="1" ht="27" customHeight="1" hidden="1" outlineLevel="1">
      <c r="A459" s="274">
        <f>IF(B459&lt;&gt;"",SUBTOTAL(103,$D$7:$D459),"")</f>
      </c>
      <c r="B459" s="220">
        <f>IF(C459&lt;&gt;"",SUBTOTAL(103,$C$448:$C459),"")</f>
      </c>
      <c r="C459" s="221"/>
      <c r="D459" s="47"/>
      <c r="E459" s="42"/>
      <c r="F459" s="42"/>
      <c r="G459" s="42"/>
      <c r="H459" s="42"/>
      <c r="I459" s="42"/>
      <c r="J459" s="45"/>
      <c r="K459" s="127"/>
      <c r="L459" s="45">
        <v>42491</v>
      </c>
      <c r="M459" s="45">
        <v>42705</v>
      </c>
      <c r="N459" s="128">
        <f t="shared" si="31"/>
        <v>8</v>
      </c>
      <c r="O459" s="137">
        <v>1210000</v>
      </c>
      <c r="P459" s="129"/>
      <c r="Q459" s="129">
        <f>N459*O459*1.5</f>
        <v>14520000</v>
      </c>
      <c r="R459" s="129"/>
      <c r="S459" s="129"/>
      <c r="T459" s="258"/>
      <c r="U459" s="222"/>
    </row>
    <row r="460" spans="1:21" s="204" customFormat="1" ht="27" customHeight="1" collapsed="1">
      <c r="A460" s="274">
        <f>IF(B460&lt;&gt;"",SUBTOTAL(103,$D$7:$D460),"")</f>
        <v>221</v>
      </c>
      <c r="B460" s="220">
        <f>IF(C460&lt;&gt;"",SUBTOTAL(103,$C$448:$C460),"")</f>
        <v>5</v>
      </c>
      <c r="C460" s="221" t="s">
        <v>1195</v>
      </c>
      <c r="D460" s="47" t="s">
        <v>1196</v>
      </c>
      <c r="E460" s="42" t="s">
        <v>314</v>
      </c>
      <c r="F460" s="42" t="s">
        <v>1197</v>
      </c>
      <c r="G460" s="42" t="s">
        <v>1198</v>
      </c>
      <c r="H460" s="42" t="s">
        <v>1199</v>
      </c>
      <c r="I460" s="42" t="s">
        <v>1036</v>
      </c>
      <c r="J460" s="45">
        <v>42309</v>
      </c>
      <c r="K460" s="127">
        <v>0</v>
      </c>
      <c r="L460" s="45">
        <v>42309</v>
      </c>
      <c r="M460" s="45">
        <v>42705</v>
      </c>
      <c r="N460" s="128">
        <f t="shared" si="31"/>
        <v>14</v>
      </c>
      <c r="O460" s="137"/>
      <c r="P460" s="129">
        <f>Q460+R460+S460</f>
        <v>35395000</v>
      </c>
      <c r="Q460" s="129">
        <f>SUM(Q461:Q462)</f>
        <v>24870000</v>
      </c>
      <c r="R460" s="129">
        <f>5125000+5400000</f>
        <v>10525000</v>
      </c>
      <c r="S460" s="129">
        <v>0</v>
      </c>
      <c r="T460" s="250" t="s">
        <v>1968</v>
      </c>
      <c r="U460" s="222"/>
    </row>
    <row r="461" spans="1:21" s="204" customFormat="1" ht="27" customHeight="1" hidden="1" outlineLevel="1">
      <c r="A461" s="274">
        <f>IF(B461&lt;&gt;"",SUBTOTAL(103,$D$7:$D461),"")</f>
      </c>
      <c r="B461" s="220"/>
      <c r="C461" s="221"/>
      <c r="D461" s="47"/>
      <c r="E461" s="42"/>
      <c r="F461" s="42"/>
      <c r="G461" s="42"/>
      <c r="H461" s="42"/>
      <c r="I461" s="42"/>
      <c r="J461" s="45"/>
      <c r="K461" s="127"/>
      <c r="L461" s="45">
        <v>42309</v>
      </c>
      <c r="M461" s="45">
        <v>42461</v>
      </c>
      <c r="N461" s="128">
        <f t="shared" si="31"/>
        <v>6</v>
      </c>
      <c r="O461" s="58">
        <v>1150000</v>
      </c>
      <c r="P461" s="129"/>
      <c r="Q461" s="129">
        <f>N461*O461*1.5</f>
        <v>10350000</v>
      </c>
      <c r="R461" s="129"/>
      <c r="S461" s="129"/>
      <c r="T461" s="258"/>
      <c r="U461" s="222"/>
    </row>
    <row r="462" spans="1:21" s="204" customFormat="1" ht="27" customHeight="1" hidden="1" outlineLevel="1">
      <c r="A462" s="274">
        <f>IF(B462&lt;&gt;"",SUBTOTAL(103,$D$7:$D462),"")</f>
      </c>
      <c r="B462" s="220"/>
      <c r="C462" s="221"/>
      <c r="D462" s="47"/>
      <c r="E462" s="42"/>
      <c r="F462" s="42"/>
      <c r="G462" s="42"/>
      <c r="H462" s="42"/>
      <c r="I462" s="42"/>
      <c r="J462" s="45"/>
      <c r="K462" s="127"/>
      <c r="L462" s="45">
        <v>42491</v>
      </c>
      <c r="M462" s="45">
        <v>42705</v>
      </c>
      <c r="N462" s="128">
        <f t="shared" si="31"/>
        <v>8</v>
      </c>
      <c r="O462" s="137">
        <v>1210000</v>
      </c>
      <c r="P462" s="129"/>
      <c r="Q462" s="129">
        <f>N462*O462*1.5</f>
        <v>14520000</v>
      </c>
      <c r="R462" s="129"/>
      <c r="S462" s="129"/>
      <c r="T462" s="258"/>
      <c r="U462" s="222"/>
    </row>
    <row r="463" spans="1:21" s="273" customFormat="1" ht="27" customHeight="1" collapsed="1">
      <c r="A463" s="274">
        <f>IF(B463&lt;&gt;"",SUBTOTAL(103,$D$7:$D463),"")</f>
      </c>
      <c r="B463" s="213"/>
      <c r="C463" s="214" t="s">
        <v>507</v>
      </c>
      <c r="D463" s="218"/>
      <c r="E463" s="7"/>
      <c r="F463" s="7"/>
      <c r="G463" s="7"/>
      <c r="H463" s="7"/>
      <c r="I463" s="7"/>
      <c r="J463" s="136"/>
      <c r="K463" s="20"/>
      <c r="L463" s="21"/>
      <c r="M463" s="21"/>
      <c r="N463" s="22"/>
      <c r="O463" s="11"/>
      <c r="P463" s="12">
        <f>P464</f>
        <v>52875000</v>
      </c>
      <c r="Q463" s="12">
        <f>Q464</f>
        <v>8625000</v>
      </c>
      <c r="R463" s="12">
        <f>R464</f>
        <v>44250000</v>
      </c>
      <c r="S463" s="12">
        <f>S464</f>
        <v>0</v>
      </c>
      <c r="T463" s="140"/>
      <c r="U463" s="216"/>
    </row>
    <row r="464" spans="1:21" s="204" customFormat="1" ht="27" customHeight="1">
      <c r="A464" s="274">
        <f>IF(B464&lt;&gt;"",SUBTOTAL(103,$D$7:$D464),"")</f>
        <v>222</v>
      </c>
      <c r="B464" s="220">
        <v>1</v>
      </c>
      <c r="C464" s="221" t="s">
        <v>508</v>
      </c>
      <c r="D464" s="47" t="s">
        <v>509</v>
      </c>
      <c r="E464" s="42" t="s">
        <v>2152</v>
      </c>
      <c r="F464" s="42" t="s">
        <v>511</v>
      </c>
      <c r="G464" s="42" t="s">
        <v>341</v>
      </c>
      <c r="H464" s="42" t="s">
        <v>377</v>
      </c>
      <c r="I464" s="42" t="s">
        <v>998</v>
      </c>
      <c r="J464" s="45">
        <v>41944</v>
      </c>
      <c r="K464" s="127">
        <v>14</v>
      </c>
      <c r="L464" s="45">
        <v>42370</v>
      </c>
      <c r="M464" s="45">
        <v>42522</v>
      </c>
      <c r="N464" s="128">
        <f>DATEDIF(L464,M464,"m")+1</f>
        <v>6</v>
      </c>
      <c r="O464" s="217"/>
      <c r="P464" s="129">
        <f>Q464+R464+S464</f>
        <v>52875000</v>
      </c>
      <c r="Q464" s="129">
        <f>SUM(Q465:Q466)</f>
        <v>8625000</v>
      </c>
      <c r="R464" s="129">
        <f>13750000+16750000+13750000</f>
        <v>44250000</v>
      </c>
      <c r="S464" s="129">
        <v>0</v>
      </c>
      <c r="T464" s="258" t="s">
        <v>1711</v>
      </c>
      <c r="U464" s="222"/>
    </row>
    <row r="465" spans="1:21" s="204" customFormat="1" ht="27" customHeight="1" hidden="1" outlineLevel="1">
      <c r="A465" s="274">
        <f>IF(B465&lt;&gt;"",SUBTOTAL(103,$D$7:$D465),"")</f>
      </c>
      <c r="B465" s="220"/>
      <c r="C465" s="221"/>
      <c r="D465" s="47"/>
      <c r="E465" s="42"/>
      <c r="F465" s="42"/>
      <c r="G465" s="42"/>
      <c r="H465" s="42"/>
      <c r="I465" s="42"/>
      <c r="J465" s="45"/>
      <c r="K465" s="127"/>
      <c r="L465" s="45">
        <v>42370</v>
      </c>
      <c r="M465" s="45">
        <v>42461</v>
      </c>
      <c r="N465" s="128">
        <f>DATEDIF(L465,M465,"m")+1</f>
        <v>4</v>
      </c>
      <c r="O465" s="137">
        <v>1150000</v>
      </c>
      <c r="P465" s="129"/>
      <c r="Q465" s="129">
        <f>N465*O465*1.5</f>
        <v>6900000</v>
      </c>
      <c r="R465" s="129"/>
      <c r="S465" s="129"/>
      <c r="T465" s="258"/>
      <c r="U465" s="222"/>
    </row>
    <row r="466" spans="1:21" s="204" customFormat="1" ht="27" customHeight="1" hidden="1" outlineLevel="1">
      <c r="A466" s="274">
        <f>IF(B466&lt;&gt;"",SUBTOTAL(103,$D$7:$D466),"")</f>
      </c>
      <c r="B466" s="220"/>
      <c r="C466" s="221"/>
      <c r="D466" s="47"/>
      <c r="E466" s="42"/>
      <c r="F466" s="42"/>
      <c r="G466" s="42"/>
      <c r="H466" s="42"/>
      <c r="I466" s="42"/>
      <c r="J466" s="45"/>
      <c r="K466" s="127"/>
      <c r="L466" s="45">
        <v>42491</v>
      </c>
      <c r="M466" s="45">
        <v>42491</v>
      </c>
      <c r="N466" s="128">
        <f>DATEDIF(L466,M466,"m")+1</f>
        <v>1</v>
      </c>
      <c r="O466" s="137">
        <v>1210000</v>
      </c>
      <c r="P466" s="129"/>
      <c r="Q466" s="129">
        <f>N466*O465*1.5</f>
        <v>1725000</v>
      </c>
      <c r="R466" s="129"/>
      <c r="S466" s="129"/>
      <c r="T466" s="258"/>
      <c r="U466" s="222"/>
    </row>
    <row r="467" spans="1:21" s="273" customFormat="1" ht="27" customHeight="1" collapsed="1">
      <c r="A467" s="274">
        <f>IF(B467&lt;&gt;"",SUBTOTAL(103,$D$7:$D467),"")</f>
      </c>
      <c r="B467" s="213"/>
      <c r="C467" s="214" t="s">
        <v>785</v>
      </c>
      <c r="D467" s="218"/>
      <c r="E467" s="7"/>
      <c r="F467" s="7"/>
      <c r="G467" s="7"/>
      <c r="H467" s="7"/>
      <c r="I467" s="7"/>
      <c r="J467" s="136"/>
      <c r="K467" s="20"/>
      <c r="L467" s="21"/>
      <c r="M467" s="21"/>
      <c r="N467" s="22"/>
      <c r="O467" s="11"/>
      <c r="P467" s="12">
        <f>SUBTOTAL(109,P468:P470)</f>
        <v>103500000</v>
      </c>
      <c r="Q467" s="12">
        <f>SUBTOTAL(109,Q468:Q470)</f>
        <v>0</v>
      </c>
      <c r="R467" s="12">
        <f>SUBTOTAL(109,R468:R470)</f>
        <v>0</v>
      </c>
      <c r="S467" s="12">
        <f>SUBTOTAL(109,S468:S470)</f>
        <v>103500000</v>
      </c>
      <c r="T467" s="262"/>
      <c r="U467" s="216"/>
    </row>
    <row r="468" spans="1:21" s="204" customFormat="1" ht="27" customHeight="1">
      <c r="A468" s="274">
        <f>IF(B468&lt;&gt;"",SUBTOTAL(103,$D$7:$D468),"")</f>
        <v>223</v>
      </c>
      <c r="B468" s="220">
        <f>IF(C468&lt;&gt;"",SUBTOTAL(103,$C$468:$C468),"")</f>
        <v>1</v>
      </c>
      <c r="C468" s="221" t="s">
        <v>854</v>
      </c>
      <c r="D468" s="47" t="s">
        <v>855</v>
      </c>
      <c r="E468" s="42" t="s">
        <v>856</v>
      </c>
      <c r="F468" s="42" t="s">
        <v>857</v>
      </c>
      <c r="G468" s="42" t="s">
        <v>346</v>
      </c>
      <c r="H468" s="42" t="s">
        <v>853</v>
      </c>
      <c r="I468" s="42" t="s">
        <v>164</v>
      </c>
      <c r="J468" s="45">
        <v>41640</v>
      </c>
      <c r="K468" s="127">
        <v>20</v>
      </c>
      <c r="L468" s="362" t="s">
        <v>46</v>
      </c>
      <c r="M468" s="363"/>
      <c r="N468" s="128">
        <v>0</v>
      </c>
      <c r="O468" s="58">
        <v>1150000</v>
      </c>
      <c r="P468" s="129">
        <f>Q468+R468+S468</f>
        <v>34500000</v>
      </c>
      <c r="Q468" s="129">
        <f>N468*O468*1.5</f>
        <v>0</v>
      </c>
      <c r="R468" s="129">
        <v>0</v>
      </c>
      <c r="S468" s="129">
        <f>30*O468</f>
        <v>34500000</v>
      </c>
      <c r="T468" s="258" t="s">
        <v>1978</v>
      </c>
      <c r="U468" s="240">
        <v>42641</v>
      </c>
    </row>
    <row r="469" spans="1:21" s="204" customFormat="1" ht="27" customHeight="1">
      <c r="A469" s="274">
        <f>IF(B469&lt;&gt;"",SUBTOTAL(103,$D$7:$D469),"")</f>
        <v>224</v>
      </c>
      <c r="B469" s="220">
        <f>IF(C469&lt;&gt;"",SUBTOTAL(103,$C$468:$C469),"")</f>
        <v>2</v>
      </c>
      <c r="C469" s="221" t="s">
        <v>1412</v>
      </c>
      <c r="D469" s="47" t="s">
        <v>540</v>
      </c>
      <c r="E469" s="42" t="s">
        <v>719</v>
      </c>
      <c r="F469" s="42" t="s">
        <v>541</v>
      </c>
      <c r="G469" s="42" t="s">
        <v>346</v>
      </c>
      <c r="H469" s="42" t="s">
        <v>1137</v>
      </c>
      <c r="I469" s="42" t="s">
        <v>1083</v>
      </c>
      <c r="J469" s="45">
        <v>41609</v>
      </c>
      <c r="K469" s="127">
        <v>20</v>
      </c>
      <c r="L469" s="362" t="s">
        <v>46</v>
      </c>
      <c r="M469" s="363"/>
      <c r="N469" s="128">
        <v>0</v>
      </c>
      <c r="O469" s="58">
        <v>1150000</v>
      </c>
      <c r="P469" s="129">
        <f>Q469+R469+S469</f>
        <v>34500000</v>
      </c>
      <c r="Q469" s="129">
        <f>N469*O469*1.5</f>
        <v>0</v>
      </c>
      <c r="R469" s="129">
        <v>0</v>
      </c>
      <c r="S469" s="129">
        <f>30*O469</f>
        <v>34500000</v>
      </c>
      <c r="T469" s="258" t="s">
        <v>1426</v>
      </c>
      <c r="U469" s="240">
        <v>42641</v>
      </c>
    </row>
    <row r="470" spans="1:21" s="204" customFormat="1" ht="27" customHeight="1">
      <c r="A470" s="274">
        <f>IF(B470&lt;&gt;"",SUBTOTAL(103,$D$7:$D470),"")</f>
        <v>225</v>
      </c>
      <c r="B470" s="220">
        <f>IF(C470&lt;&gt;"",SUBTOTAL(103,$C$468:$C470),"")</f>
        <v>3</v>
      </c>
      <c r="C470" s="221" t="s">
        <v>634</v>
      </c>
      <c r="D470" s="47" t="s">
        <v>39</v>
      </c>
      <c r="E470" s="42" t="s">
        <v>40</v>
      </c>
      <c r="F470" s="42" t="s">
        <v>852</v>
      </c>
      <c r="G470" s="42" t="s">
        <v>346</v>
      </c>
      <c r="H470" s="42" t="s">
        <v>853</v>
      </c>
      <c r="I470" s="42" t="s">
        <v>44</v>
      </c>
      <c r="J470" s="45">
        <v>41640</v>
      </c>
      <c r="K470" s="127">
        <v>20</v>
      </c>
      <c r="L470" s="362" t="s">
        <v>46</v>
      </c>
      <c r="M470" s="363"/>
      <c r="N470" s="128">
        <v>0</v>
      </c>
      <c r="O470" s="58">
        <v>1150000</v>
      </c>
      <c r="P470" s="129">
        <f>Q470+R470+S470</f>
        <v>34500000</v>
      </c>
      <c r="Q470" s="129">
        <f>N470*O470*1.5</f>
        <v>0</v>
      </c>
      <c r="R470" s="129">
        <v>0</v>
      </c>
      <c r="S470" s="129">
        <f>30*O470</f>
        <v>34500000</v>
      </c>
      <c r="T470" s="258" t="s">
        <v>1427</v>
      </c>
      <c r="U470" s="240">
        <v>42641</v>
      </c>
    </row>
    <row r="471" spans="1:21" s="273" customFormat="1" ht="27" customHeight="1">
      <c r="A471" s="274">
        <f>IF(B471&lt;&gt;"",SUBTOTAL(103,$D$7:$D471),"")</f>
      </c>
      <c r="B471" s="213"/>
      <c r="C471" s="214" t="s">
        <v>41</v>
      </c>
      <c r="D471" s="218"/>
      <c r="E471" s="7"/>
      <c r="F471" s="7"/>
      <c r="G471" s="7"/>
      <c r="H471" s="7"/>
      <c r="I471" s="7"/>
      <c r="J471" s="136"/>
      <c r="K471" s="20"/>
      <c r="L471" s="21"/>
      <c r="M471" s="21"/>
      <c r="N471" s="22"/>
      <c r="O471" s="11"/>
      <c r="P471" s="12">
        <f>SUBTOTAL(109,P472:P486)</f>
        <v>242275000</v>
      </c>
      <c r="Q471" s="12">
        <f>SUBTOTAL(109,Q472:Q486)</f>
        <v>72975000</v>
      </c>
      <c r="R471" s="12">
        <f>SUBTOTAL(109,R472:R486)</f>
        <v>65800000</v>
      </c>
      <c r="S471" s="12">
        <f>SUBTOTAL(109,S472:S486)</f>
        <v>103500000</v>
      </c>
      <c r="T471" s="140"/>
      <c r="U471" s="216"/>
    </row>
    <row r="472" spans="1:21" s="204" customFormat="1" ht="27" customHeight="1">
      <c r="A472" s="274">
        <f>IF(B472&lt;&gt;"",SUBTOTAL(103,$D$7:$D472),"")</f>
        <v>226</v>
      </c>
      <c r="B472" s="220">
        <f>IF(C472&lt;&gt;"",SUBTOTAL(103,$C$472:$C472),"")</f>
        <v>1</v>
      </c>
      <c r="C472" s="221" t="s">
        <v>311</v>
      </c>
      <c r="D472" s="47" t="s">
        <v>312</v>
      </c>
      <c r="E472" s="42" t="s">
        <v>657</v>
      </c>
      <c r="F472" s="42" t="s">
        <v>313</v>
      </c>
      <c r="G472" s="42" t="s">
        <v>346</v>
      </c>
      <c r="H472" s="42" t="s">
        <v>1146</v>
      </c>
      <c r="I472" s="42" t="s">
        <v>251</v>
      </c>
      <c r="J472" s="45">
        <v>41214</v>
      </c>
      <c r="K472" s="128">
        <v>20</v>
      </c>
      <c r="L472" s="362" t="s">
        <v>46</v>
      </c>
      <c r="M472" s="363"/>
      <c r="N472" s="128">
        <v>0</v>
      </c>
      <c r="O472" s="58">
        <v>1150000</v>
      </c>
      <c r="P472" s="129">
        <f>SUM(Q472:S472)</f>
        <v>34500000</v>
      </c>
      <c r="Q472" s="129">
        <v>0</v>
      </c>
      <c r="R472" s="129">
        <v>0</v>
      </c>
      <c r="S472" s="129">
        <f>30*O472</f>
        <v>34500000</v>
      </c>
      <c r="T472" s="258" t="s">
        <v>2080</v>
      </c>
      <c r="U472" s="240">
        <v>42654</v>
      </c>
    </row>
    <row r="473" spans="1:21" s="204" customFormat="1" ht="27" customHeight="1">
      <c r="A473" s="274">
        <f>IF(B473&lt;&gt;"",SUBTOTAL(103,$D$7:$D473),"")</f>
        <v>227</v>
      </c>
      <c r="B473" s="220">
        <f>IF(C473&lt;&gt;"",SUBTOTAL(103,$C$472:$C473),"")</f>
        <v>2</v>
      </c>
      <c r="C473" s="221" t="s">
        <v>727</v>
      </c>
      <c r="D473" s="47" t="s">
        <v>132</v>
      </c>
      <c r="E473" s="42" t="s">
        <v>657</v>
      </c>
      <c r="F473" s="42" t="s">
        <v>133</v>
      </c>
      <c r="G473" s="42" t="s">
        <v>346</v>
      </c>
      <c r="H473" s="42" t="s">
        <v>134</v>
      </c>
      <c r="I473" s="42" t="s">
        <v>44</v>
      </c>
      <c r="J473" s="45">
        <v>41640</v>
      </c>
      <c r="K473" s="128">
        <v>20</v>
      </c>
      <c r="L473" s="362" t="s">
        <v>46</v>
      </c>
      <c r="M473" s="363"/>
      <c r="N473" s="128">
        <v>0</v>
      </c>
      <c r="O473" s="129">
        <v>1150000</v>
      </c>
      <c r="P473" s="129">
        <f>Q473+R473+S473</f>
        <v>34500000</v>
      </c>
      <c r="Q473" s="129">
        <f>N473*O473*1.5</f>
        <v>0</v>
      </c>
      <c r="R473" s="129">
        <v>0</v>
      </c>
      <c r="S473" s="129">
        <f>30*O473</f>
        <v>34500000</v>
      </c>
      <c r="T473" s="258" t="s">
        <v>2081</v>
      </c>
      <c r="U473" s="240">
        <v>42654</v>
      </c>
    </row>
    <row r="474" spans="1:21" s="204" customFormat="1" ht="27" customHeight="1">
      <c r="A474" s="274">
        <f>IF(B474&lt;&gt;"",SUBTOTAL(103,$D$7:$D474),"")</f>
        <v>228</v>
      </c>
      <c r="B474" s="220">
        <f>IF(C474&lt;&gt;"",SUBTOTAL(103,$C$472:$C474),"")</f>
        <v>3</v>
      </c>
      <c r="C474" s="221" t="s">
        <v>135</v>
      </c>
      <c r="D474" s="47" t="s">
        <v>136</v>
      </c>
      <c r="E474" s="42" t="s">
        <v>657</v>
      </c>
      <c r="F474" s="42" t="s">
        <v>137</v>
      </c>
      <c r="G474" s="42" t="s">
        <v>346</v>
      </c>
      <c r="H474" s="42" t="s">
        <v>134</v>
      </c>
      <c r="I474" s="42" t="s">
        <v>44</v>
      </c>
      <c r="J474" s="45">
        <v>41640</v>
      </c>
      <c r="K474" s="128">
        <v>20</v>
      </c>
      <c r="L474" s="362" t="s">
        <v>46</v>
      </c>
      <c r="M474" s="363"/>
      <c r="N474" s="128">
        <v>0</v>
      </c>
      <c r="O474" s="129">
        <v>1150000</v>
      </c>
      <c r="P474" s="129">
        <f>Q474+R474+S474</f>
        <v>34500000</v>
      </c>
      <c r="Q474" s="129">
        <f>N474*O474*1.5</f>
        <v>0</v>
      </c>
      <c r="R474" s="129">
        <v>0</v>
      </c>
      <c r="S474" s="129">
        <f>30*O474</f>
        <v>34500000</v>
      </c>
      <c r="T474" s="258" t="s">
        <v>2082</v>
      </c>
      <c r="U474" s="240">
        <v>42654</v>
      </c>
    </row>
    <row r="475" spans="1:21" s="204" customFormat="1" ht="27" customHeight="1">
      <c r="A475" s="274">
        <f>IF(B475&lt;&gt;"",SUBTOTAL(103,$D$7:$D475),"")</f>
        <v>229</v>
      </c>
      <c r="B475" s="220">
        <f>IF(C475&lt;&gt;"",SUBTOTAL(103,$C$472:$C475),"")</f>
        <v>4</v>
      </c>
      <c r="C475" s="221" t="s">
        <v>1002</v>
      </c>
      <c r="D475" s="47" t="s">
        <v>1003</v>
      </c>
      <c r="E475" s="42" t="s">
        <v>657</v>
      </c>
      <c r="F475" s="42" t="s">
        <v>1004</v>
      </c>
      <c r="G475" s="42" t="s">
        <v>341</v>
      </c>
      <c r="H475" s="42" t="s">
        <v>134</v>
      </c>
      <c r="I475" s="42" t="s">
        <v>1005</v>
      </c>
      <c r="J475" s="45">
        <v>41913</v>
      </c>
      <c r="K475" s="128">
        <v>15</v>
      </c>
      <c r="L475" s="45">
        <v>42370</v>
      </c>
      <c r="M475" s="45">
        <v>42705</v>
      </c>
      <c r="N475" s="128">
        <f aca="true" t="shared" si="32" ref="N475:N484">DATEDIF(L475,M475,"m")+1</f>
        <v>12</v>
      </c>
      <c r="O475" s="217"/>
      <c r="P475" s="129">
        <f>Q475+R475+S475</f>
        <v>40870000</v>
      </c>
      <c r="Q475" s="129">
        <f>SUM(Q476:Q477)</f>
        <v>21420000</v>
      </c>
      <c r="R475" s="129">
        <f>15250000+3600000+600000</f>
        <v>19450000</v>
      </c>
      <c r="S475" s="129">
        <v>0</v>
      </c>
      <c r="T475" s="258" t="s">
        <v>1523</v>
      </c>
      <c r="U475" s="240">
        <v>42650</v>
      </c>
    </row>
    <row r="476" spans="1:21" s="204" customFormat="1" ht="27" customHeight="1" hidden="1" outlineLevel="1">
      <c r="A476" s="274">
        <f>IF(B476&lt;&gt;"",SUBTOTAL(103,$D$7:$D476),"")</f>
      </c>
      <c r="B476" s="220">
        <f>IF(C476&lt;&gt;"",SUBTOTAL(103,$C$472:$C476),"")</f>
      </c>
      <c r="C476" s="221"/>
      <c r="D476" s="47"/>
      <c r="E476" s="42"/>
      <c r="F476" s="42"/>
      <c r="G476" s="42"/>
      <c r="H476" s="42"/>
      <c r="I476" s="42"/>
      <c r="J476" s="45"/>
      <c r="K476" s="128"/>
      <c r="L476" s="45">
        <v>42370</v>
      </c>
      <c r="M476" s="45">
        <v>42461</v>
      </c>
      <c r="N476" s="128">
        <f t="shared" si="32"/>
        <v>4</v>
      </c>
      <c r="O476" s="129">
        <v>1150000</v>
      </c>
      <c r="P476" s="129"/>
      <c r="Q476" s="129">
        <f>N476*O476*1.5</f>
        <v>6900000</v>
      </c>
      <c r="R476" s="129"/>
      <c r="S476" s="129"/>
      <c r="T476" s="258"/>
      <c r="U476" s="222"/>
    </row>
    <row r="477" spans="1:21" s="204" customFormat="1" ht="27" customHeight="1" hidden="1" outlineLevel="1">
      <c r="A477" s="274">
        <f>IF(B477&lt;&gt;"",SUBTOTAL(103,$D$7:$D477),"")</f>
      </c>
      <c r="B477" s="220">
        <f>IF(C477&lt;&gt;"",SUBTOTAL(103,$C$472:$C477),"")</f>
      </c>
      <c r="C477" s="221"/>
      <c r="D477" s="47"/>
      <c r="E477" s="42"/>
      <c r="F477" s="42"/>
      <c r="G477" s="42"/>
      <c r="H477" s="42"/>
      <c r="I477" s="42"/>
      <c r="J477" s="45"/>
      <c r="K477" s="128"/>
      <c r="L477" s="45">
        <v>42491</v>
      </c>
      <c r="M477" s="45">
        <v>42705</v>
      </c>
      <c r="N477" s="128">
        <f t="shared" si="32"/>
        <v>8</v>
      </c>
      <c r="O477" s="129">
        <v>1210000</v>
      </c>
      <c r="P477" s="129"/>
      <c r="Q477" s="129">
        <f>N477*O477*1.5</f>
        <v>14520000</v>
      </c>
      <c r="R477" s="129"/>
      <c r="S477" s="129"/>
      <c r="T477" s="258"/>
      <c r="U477" s="222"/>
    </row>
    <row r="478" spans="1:21" s="204" customFormat="1" ht="27" customHeight="1" collapsed="1">
      <c r="A478" s="274">
        <f>IF(B478&lt;&gt;"",SUBTOTAL(103,$D$7:$D478),"")</f>
        <v>230</v>
      </c>
      <c r="B478" s="220">
        <f>IF(C478&lt;&gt;"",SUBTOTAL(103,$C$472:$C478),"")</f>
        <v>5</v>
      </c>
      <c r="C478" s="221" t="s">
        <v>1524</v>
      </c>
      <c r="D478" s="47" t="s">
        <v>1525</v>
      </c>
      <c r="E478" s="42" t="s">
        <v>657</v>
      </c>
      <c r="F478" s="42" t="s">
        <v>1526</v>
      </c>
      <c r="G478" s="42" t="s">
        <v>341</v>
      </c>
      <c r="H478" s="42" t="s">
        <v>1527</v>
      </c>
      <c r="I478" s="42" t="s">
        <v>1528</v>
      </c>
      <c r="J478" s="45">
        <v>42309</v>
      </c>
      <c r="K478" s="128">
        <v>0</v>
      </c>
      <c r="L478" s="45">
        <v>42370</v>
      </c>
      <c r="M478" s="45">
        <v>42705</v>
      </c>
      <c r="N478" s="128">
        <f t="shared" si="32"/>
        <v>12</v>
      </c>
      <c r="O478" s="217"/>
      <c r="P478" s="129">
        <f>Q478+R478+S478</f>
        <v>36770000</v>
      </c>
      <c r="Q478" s="129">
        <f>SUM(Q479:Q480)</f>
        <v>21420000</v>
      </c>
      <c r="R478" s="129">
        <v>15350000</v>
      </c>
      <c r="S478" s="129">
        <v>0</v>
      </c>
      <c r="T478" s="258" t="s">
        <v>2083</v>
      </c>
      <c r="U478" s="240">
        <v>42654</v>
      </c>
    </row>
    <row r="479" spans="1:21" s="204" customFormat="1" ht="27" customHeight="1" hidden="1" outlineLevel="1">
      <c r="A479" s="274">
        <f>IF(B479&lt;&gt;"",SUBTOTAL(103,$D$7:$D479),"")</f>
      </c>
      <c r="B479" s="220">
        <f>IF(C479&lt;&gt;"",SUBTOTAL(103,$C$472:$C479),"")</f>
      </c>
      <c r="C479" s="221"/>
      <c r="D479" s="47"/>
      <c r="E479" s="42"/>
      <c r="F479" s="42"/>
      <c r="G479" s="42"/>
      <c r="H479" s="42"/>
      <c r="I479" s="42"/>
      <c r="J479" s="45"/>
      <c r="K479" s="128"/>
      <c r="L479" s="45">
        <v>42370</v>
      </c>
      <c r="M479" s="45">
        <v>42461</v>
      </c>
      <c r="N479" s="128">
        <f t="shared" si="32"/>
        <v>4</v>
      </c>
      <c r="O479" s="129">
        <v>1150000</v>
      </c>
      <c r="P479" s="129"/>
      <c r="Q479" s="129">
        <f>N479*O479*1.5</f>
        <v>6900000</v>
      </c>
      <c r="R479" s="129"/>
      <c r="S479" s="129"/>
      <c r="T479" s="258"/>
      <c r="U479" s="222"/>
    </row>
    <row r="480" spans="1:21" s="204" customFormat="1" ht="27" customHeight="1" hidden="1" outlineLevel="1">
      <c r="A480" s="274">
        <f>IF(B480&lt;&gt;"",SUBTOTAL(103,$D$7:$D480),"")</f>
      </c>
      <c r="B480" s="220">
        <f>IF(C480&lt;&gt;"",SUBTOTAL(103,$C$472:$C480),"")</f>
      </c>
      <c r="C480" s="221"/>
      <c r="D480" s="47"/>
      <c r="E480" s="42"/>
      <c r="F480" s="42"/>
      <c r="G480" s="42"/>
      <c r="H480" s="42"/>
      <c r="I480" s="42"/>
      <c r="J480" s="45"/>
      <c r="K480" s="128"/>
      <c r="L480" s="45">
        <v>42491</v>
      </c>
      <c r="M480" s="45">
        <v>42705</v>
      </c>
      <c r="N480" s="128">
        <f t="shared" si="32"/>
        <v>8</v>
      </c>
      <c r="O480" s="129">
        <v>1210000</v>
      </c>
      <c r="P480" s="129"/>
      <c r="Q480" s="129">
        <f>N480*O480*1.5</f>
        <v>14520000</v>
      </c>
      <c r="R480" s="129"/>
      <c r="S480" s="129"/>
      <c r="T480" s="258"/>
      <c r="U480" s="222"/>
    </row>
    <row r="481" spans="1:21" s="204" customFormat="1" ht="27" customHeight="1" collapsed="1">
      <c r="A481" s="274">
        <f>IF(B481&lt;&gt;"",SUBTOTAL(103,$D$7:$D481),"")</f>
        <v>231</v>
      </c>
      <c r="B481" s="220">
        <f>IF(C481&lt;&gt;"",SUBTOTAL(103,$C$472:$C481),"")</f>
        <v>6</v>
      </c>
      <c r="C481" s="221" t="s">
        <v>1030</v>
      </c>
      <c r="D481" s="47" t="s">
        <v>1031</v>
      </c>
      <c r="E481" s="42" t="s">
        <v>836</v>
      </c>
      <c r="F481" s="42" t="s">
        <v>837</v>
      </c>
      <c r="G481" s="42" t="s">
        <v>341</v>
      </c>
      <c r="H481" s="42" t="s">
        <v>725</v>
      </c>
      <c r="I481" s="42" t="s">
        <v>44</v>
      </c>
      <c r="J481" s="45">
        <v>41913</v>
      </c>
      <c r="K481" s="128">
        <v>15</v>
      </c>
      <c r="L481" s="45">
        <v>42370</v>
      </c>
      <c r="M481" s="45">
        <v>42491</v>
      </c>
      <c r="N481" s="128">
        <f t="shared" si="32"/>
        <v>5</v>
      </c>
      <c r="O481" s="129"/>
      <c r="P481" s="129">
        <f>Q481+R481+S481</f>
        <v>39715000</v>
      </c>
      <c r="Q481" s="129">
        <f>SUM(Q482:Q483)</f>
        <v>8715000</v>
      </c>
      <c r="R481" s="129">
        <f>2000000+15250000+13750000</f>
        <v>31000000</v>
      </c>
      <c r="S481" s="129">
        <v>0</v>
      </c>
      <c r="T481" s="258" t="s">
        <v>1530</v>
      </c>
      <c r="U481" s="240">
        <v>42654</v>
      </c>
    </row>
    <row r="482" spans="1:21" s="204" customFormat="1" ht="27" customHeight="1" hidden="1" outlineLevel="1">
      <c r="A482" s="274">
        <f>IF(B482&lt;&gt;"",SUBTOTAL(103,$D$7:$D482),"")</f>
      </c>
      <c r="B482" s="220">
        <f>IF(C482&lt;&gt;"",SUBTOTAL(103,$C$472:$C482),"")</f>
      </c>
      <c r="C482" s="221"/>
      <c r="D482" s="47"/>
      <c r="E482" s="42"/>
      <c r="F482" s="42"/>
      <c r="G482" s="42"/>
      <c r="H482" s="42"/>
      <c r="I482" s="42"/>
      <c r="J482" s="45"/>
      <c r="K482" s="128"/>
      <c r="L482" s="45">
        <v>42370</v>
      </c>
      <c r="M482" s="45">
        <v>42461</v>
      </c>
      <c r="N482" s="128">
        <f t="shared" si="32"/>
        <v>4</v>
      </c>
      <c r="O482" s="129">
        <v>1150000</v>
      </c>
      <c r="P482" s="129"/>
      <c r="Q482" s="129">
        <f>N482*O482*1.5</f>
        <v>6900000</v>
      </c>
      <c r="R482" s="129"/>
      <c r="S482" s="129"/>
      <c r="T482" s="258"/>
      <c r="U482" s="222"/>
    </row>
    <row r="483" spans="1:21" s="204" customFormat="1" ht="27" customHeight="1" hidden="1" outlineLevel="1">
      <c r="A483" s="274">
        <f>IF(B483&lt;&gt;"",SUBTOTAL(103,$D$7:$D483),"")</f>
      </c>
      <c r="B483" s="220">
        <f>IF(C483&lt;&gt;"",SUBTOTAL(103,$C$472:$C483),"")</f>
      </c>
      <c r="C483" s="221"/>
      <c r="D483" s="47"/>
      <c r="E483" s="42"/>
      <c r="F483" s="42"/>
      <c r="G483" s="42"/>
      <c r="H483" s="42"/>
      <c r="I483" s="42"/>
      <c r="J483" s="45"/>
      <c r="K483" s="128"/>
      <c r="L483" s="45">
        <v>42491</v>
      </c>
      <c r="M483" s="45">
        <v>42491</v>
      </c>
      <c r="N483" s="128">
        <f t="shared" si="32"/>
        <v>1</v>
      </c>
      <c r="O483" s="129">
        <v>1210000</v>
      </c>
      <c r="P483" s="129"/>
      <c r="Q483" s="129">
        <f>N483*O483*1.5</f>
        <v>1815000</v>
      </c>
      <c r="R483" s="129"/>
      <c r="S483" s="129"/>
      <c r="T483" s="258"/>
      <c r="U483" s="222"/>
    </row>
    <row r="484" spans="1:21" s="276" customFormat="1" ht="27" customHeight="1" collapsed="1">
      <c r="A484" s="274">
        <f>IF(B484&lt;&gt;"",SUBTOTAL(103,$D$7:$D484),"")</f>
        <v>232</v>
      </c>
      <c r="B484" s="220">
        <f>IF(C484&lt;&gt;"",SUBTOTAL(103,$C$472:$C484),"")</f>
        <v>7</v>
      </c>
      <c r="C484" s="221" t="s">
        <v>450</v>
      </c>
      <c r="D484" s="47" t="s">
        <v>451</v>
      </c>
      <c r="E484" s="42" t="s">
        <v>657</v>
      </c>
      <c r="F484" s="42" t="s">
        <v>1009</v>
      </c>
      <c r="G484" s="42" t="s">
        <v>341</v>
      </c>
      <c r="H484" s="42" t="s">
        <v>1010</v>
      </c>
      <c r="I484" s="42" t="s">
        <v>452</v>
      </c>
      <c r="J484" s="45">
        <v>42186</v>
      </c>
      <c r="K484" s="128">
        <v>5</v>
      </c>
      <c r="L484" s="45">
        <v>42370</v>
      </c>
      <c r="M484" s="45">
        <v>42705</v>
      </c>
      <c r="N484" s="128">
        <f t="shared" si="32"/>
        <v>12</v>
      </c>
      <c r="O484" s="58"/>
      <c r="P484" s="129">
        <f>SUM(Q484:S484)</f>
        <v>21420000</v>
      </c>
      <c r="Q484" s="129">
        <f>SUM(Q485:Q486)</f>
        <v>21420000</v>
      </c>
      <c r="R484" s="129">
        <v>0</v>
      </c>
      <c r="S484" s="129">
        <v>0</v>
      </c>
      <c r="T484" s="258" t="s">
        <v>1964</v>
      </c>
      <c r="U484" s="240">
        <v>42664</v>
      </c>
    </row>
    <row r="485" spans="1:21" s="276" customFormat="1" ht="27" customHeight="1" hidden="1" outlineLevel="1">
      <c r="A485" s="274">
        <f>IF(B485&lt;&gt;"",SUBTOTAL(103,$D$7:$D485),"")</f>
      </c>
      <c r="B485" s="220"/>
      <c r="C485" s="221"/>
      <c r="D485" s="47"/>
      <c r="E485" s="42"/>
      <c r="F485" s="42"/>
      <c r="G485" s="42"/>
      <c r="H485" s="42"/>
      <c r="I485" s="42"/>
      <c r="J485" s="45"/>
      <c r="K485" s="128"/>
      <c r="L485" s="45">
        <v>42370</v>
      </c>
      <c r="M485" s="45">
        <v>42461</v>
      </c>
      <c r="N485" s="128">
        <f>DATEDIF(L485,M485,"m")+1</f>
        <v>4</v>
      </c>
      <c r="O485" s="129">
        <v>1150000</v>
      </c>
      <c r="P485" s="129"/>
      <c r="Q485" s="129">
        <f>N485*O485*1.5</f>
        <v>6900000</v>
      </c>
      <c r="R485" s="129"/>
      <c r="S485" s="129"/>
      <c r="T485" s="258"/>
      <c r="U485" s="222"/>
    </row>
    <row r="486" spans="1:21" s="276" customFormat="1" ht="27" customHeight="1" hidden="1" outlineLevel="1">
      <c r="A486" s="274">
        <f>IF(B486&lt;&gt;"",SUBTOTAL(103,$D$7:$D486),"")</f>
      </c>
      <c r="B486" s="220"/>
      <c r="C486" s="221"/>
      <c r="D486" s="47"/>
      <c r="E486" s="42"/>
      <c r="F486" s="42"/>
      <c r="G486" s="42"/>
      <c r="H486" s="42"/>
      <c r="I486" s="42"/>
      <c r="J486" s="45"/>
      <c r="K486" s="128"/>
      <c r="L486" s="45">
        <v>42491</v>
      </c>
      <c r="M486" s="45">
        <v>42705</v>
      </c>
      <c r="N486" s="128">
        <f>DATEDIF(L486,M486,"m")+1</f>
        <v>8</v>
      </c>
      <c r="O486" s="129">
        <v>1210000</v>
      </c>
      <c r="P486" s="129"/>
      <c r="Q486" s="129">
        <f>N486*O486*1.5</f>
        <v>14520000</v>
      </c>
      <c r="R486" s="129"/>
      <c r="S486" s="129"/>
      <c r="T486" s="258"/>
      <c r="U486" s="222"/>
    </row>
    <row r="487" spans="1:21" s="273" customFormat="1" ht="27" customHeight="1" collapsed="1">
      <c r="A487" s="274">
        <f>IF(B487&lt;&gt;"",SUBTOTAL(103,$D$7:$D487),"")</f>
      </c>
      <c r="B487" s="213"/>
      <c r="C487" s="214" t="s">
        <v>38</v>
      </c>
      <c r="D487" s="218"/>
      <c r="E487" s="7"/>
      <c r="F487" s="7"/>
      <c r="G487" s="7"/>
      <c r="H487" s="7"/>
      <c r="I487" s="7"/>
      <c r="J487" s="136"/>
      <c r="K487" s="20"/>
      <c r="L487" s="21"/>
      <c r="M487" s="21"/>
      <c r="N487" s="22"/>
      <c r="O487" s="11"/>
      <c r="P487" s="12">
        <f>P488</f>
        <v>57350000</v>
      </c>
      <c r="Q487" s="12">
        <f>Q488</f>
        <v>34860000</v>
      </c>
      <c r="R487" s="12">
        <f>R488</f>
        <v>22490000</v>
      </c>
      <c r="S487" s="12">
        <f>S488</f>
        <v>0</v>
      </c>
      <c r="T487" s="262"/>
      <c r="U487" s="216"/>
    </row>
    <row r="488" spans="1:21" s="204" customFormat="1" ht="27" customHeight="1">
      <c r="A488" s="274">
        <f>IF(B488&lt;&gt;"",SUBTOTAL(103,$D$7:$D488),"")</f>
        <v>233</v>
      </c>
      <c r="B488" s="220">
        <f>IF(C488&lt;&gt;"",SUBTOTAL(103,$C$488:$C488),"")</f>
        <v>1</v>
      </c>
      <c r="C488" s="221" t="s">
        <v>1482</v>
      </c>
      <c r="D488" s="47" t="s">
        <v>1483</v>
      </c>
      <c r="E488" s="42" t="s">
        <v>1484</v>
      </c>
      <c r="F488" s="42" t="s">
        <v>1485</v>
      </c>
      <c r="G488" s="42" t="s">
        <v>1198</v>
      </c>
      <c r="H488" s="42" t="s">
        <v>1137</v>
      </c>
      <c r="I488" s="42" t="s">
        <v>44</v>
      </c>
      <c r="J488" s="45">
        <v>42005</v>
      </c>
      <c r="K488" s="127"/>
      <c r="L488" s="278">
        <v>42005</v>
      </c>
      <c r="M488" s="278">
        <v>42583</v>
      </c>
      <c r="N488" s="128">
        <f>DATEDIF(L488,M488,"m")+1</f>
        <v>20</v>
      </c>
      <c r="O488" s="129"/>
      <c r="P488" s="129">
        <f>Q488+R488+S488</f>
        <v>57350000</v>
      </c>
      <c r="Q488" s="129">
        <f>SUM(Q489:Q490)</f>
        <v>34860000</v>
      </c>
      <c r="R488" s="129">
        <f>14240000+8250000</f>
        <v>22490000</v>
      </c>
      <c r="S488" s="129">
        <v>0</v>
      </c>
      <c r="T488" s="258" t="s">
        <v>1486</v>
      </c>
      <c r="U488" s="240">
        <v>42642</v>
      </c>
    </row>
    <row r="489" spans="1:21" s="204" customFormat="1" ht="27" customHeight="1" hidden="1" outlineLevel="1">
      <c r="A489" s="274">
        <f>IF(B489&lt;&gt;"",SUBTOTAL(103,$D$7:$D489),"")</f>
      </c>
      <c r="B489" s="220"/>
      <c r="C489" s="221"/>
      <c r="D489" s="47"/>
      <c r="E489" s="42"/>
      <c r="F489" s="42"/>
      <c r="G489" s="42"/>
      <c r="H489" s="42"/>
      <c r="I489" s="42"/>
      <c r="J489" s="45"/>
      <c r="K489" s="127"/>
      <c r="L489" s="278">
        <v>42005</v>
      </c>
      <c r="M489" s="278">
        <v>42461</v>
      </c>
      <c r="N489" s="128">
        <f>DATEDIF(L489,M489,"m")+1</f>
        <v>16</v>
      </c>
      <c r="O489" s="129">
        <v>1150000</v>
      </c>
      <c r="P489" s="129"/>
      <c r="Q489" s="129">
        <f>N489*O489*1.5</f>
        <v>27600000</v>
      </c>
      <c r="R489" s="129"/>
      <c r="S489" s="129"/>
      <c r="T489" s="250"/>
      <c r="U489" s="240"/>
    </row>
    <row r="490" spans="1:21" s="204" customFormat="1" ht="27" customHeight="1" hidden="1" outlineLevel="1">
      <c r="A490" s="274">
        <f>IF(B490&lt;&gt;"",SUBTOTAL(103,$D$7:$D490),"")</f>
      </c>
      <c r="B490" s="220"/>
      <c r="C490" s="221"/>
      <c r="D490" s="47"/>
      <c r="E490" s="42"/>
      <c r="F490" s="42"/>
      <c r="G490" s="42"/>
      <c r="H490" s="42"/>
      <c r="I490" s="42"/>
      <c r="J490" s="45"/>
      <c r="K490" s="127"/>
      <c r="L490" s="278">
        <v>42491</v>
      </c>
      <c r="M490" s="278">
        <v>42583</v>
      </c>
      <c r="N490" s="128">
        <f>DATEDIF(L490,M490,"m")+1</f>
        <v>4</v>
      </c>
      <c r="O490" s="137">
        <v>1210000</v>
      </c>
      <c r="P490" s="129"/>
      <c r="Q490" s="129">
        <f>N490*O490*1.5</f>
        <v>7260000</v>
      </c>
      <c r="R490" s="129"/>
      <c r="S490" s="129"/>
      <c r="T490" s="250"/>
      <c r="U490" s="240"/>
    </row>
    <row r="491" spans="1:21" s="273" customFormat="1" ht="27" customHeight="1" collapsed="1">
      <c r="A491" s="274">
        <f>IF(B491&lt;&gt;"",SUBTOTAL(103,$D$7:$D491),"")</f>
      </c>
      <c r="B491" s="213"/>
      <c r="C491" s="214" t="s">
        <v>257</v>
      </c>
      <c r="D491" s="218"/>
      <c r="E491" s="7"/>
      <c r="F491" s="7"/>
      <c r="G491" s="7"/>
      <c r="H491" s="7"/>
      <c r="I491" s="7"/>
      <c r="J491" s="136"/>
      <c r="K491" s="20"/>
      <c r="L491" s="21"/>
      <c r="M491" s="21"/>
      <c r="N491" s="22"/>
      <c r="O491" s="11"/>
      <c r="P491" s="12">
        <f>P492</f>
        <v>28750000</v>
      </c>
      <c r="Q491" s="12">
        <f>Q492</f>
        <v>0</v>
      </c>
      <c r="R491" s="12">
        <f>R492</f>
        <v>28750000</v>
      </c>
      <c r="S491" s="12">
        <f>S492</f>
        <v>0</v>
      </c>
      <c r="T491" s="12"/>
      <c r="U491" s="216"/>
    </row>
    <row r="492" spans="1:21" s="204" customFormat="1" ht="27" customHeight="1">
      <c r="A492" s="274">
        <f>IF(B492&lt;&gt;"",SUBTOTAL(103,$D$7:$D492),"")</f>
        <v>234</v>
      </c>
      <c r="B492" s="220">
        <f>IF(C492&lt;&gt;"",SUBTOTAL(103,$C$492:$C492),"")</f>
        <v>1</v>
      </c>
      <c r="C492" s="221" t="s">
        <v>258</v>
      </c>
      <c r="D492" s="47" t="s">
        <v>259</v>
      </c>
      <c r="E492" s="42" t="s">
        <v>260</v>
      </c>
      <c r="F492" s="42" t="s">
        <v>261</v>
      </c>
      <c r="G492" s="42" t="s">
        <v>341</v>
      </c>
      <c r="H492" s="42" t="s">
        <v>92</v>
      </c>
      <c r="I492" s="42" t="s">
        <v>1156</v>
      </c>
      <c r="J492" s="45">
        <v>41183</v>
      </c>
      <c r="K492" s="127">
        <v>30</v>
      </c>
      <c r="L492" s="278"/>
      <c r="M492" s="278"/>
      <c r="N492" s="128">
        <v>0</v>
      </c>
      <c r="O492" s="129">
        <v>1150000</v>
      </c>
      <c r="P492" s="129">
        <f>Q492+R492+S492</f>
        <v>28750000</v>
      </c>
      <c r="Q492" s="129">
        <f>N492*O492*1.5</f>
        <v>0</v>
      </c>
      <c r="R492" s="129">
        <v>28750000</v>
      </c>
      <c r="S492" s="129">
        <v>0</v>
      </c>
      <c r="T492" s="258" t="s">
        <v>1979</v>
      </c>
      <c r="U492" s="240">
        <v>42667</v>
      </c>
    </row>
    <row r="493" spans="1:21" s="273" customFormat="1" ht="27" customHeight="1">
      <c r="A493" s="274">
        <f>IF(B493&lt;&gt;"",SUBTOTAL(103,$D$7:$D493),"")</f>
      </c>
      <c r="B493" s="213"/>
      <c r="C493" s="214" t="s">
        <v>1033</v>
      </c>
      <c r="D493" s="218"/>
      <c r="E493" s="7"/>
      <c r="F493" s="7"/>
      <c r="G493" s="7"/>
      <c r="H493" s="7"/>
      <c r="I493" s="7"/>
      <c r="J493" s="136"/>
      <c r="K493" s="20"/>
      <c r="L493" s="21"/>
      <c r="M493" s="21"/>
      <c r="N493" s="22"/>
      <c r="O493" s="11"/>
      <c r="P493" s="12">
        <f>SUBTOTAL(109,P494:P497)</f>
        <v>138000000</v>
      </c>
      <c r="Q493" s="12">
        <f>SUBTOTAL(109,Q494:Q497)</f>
        <v>0</v>
      </c>
      <c r="R493" s="12">
        <f>SUBTOTAL(109,R494:R497)</f>
        <v>0</v>
      </c>
      <c r="S493" s="12">
        <f>SUBTOTAL(109,S494:S497)</f>
        <v>138000000</v>
      </c>
      <c r="T493" s="262"/>
      <c r="U493" s="216"/>
    </row>
    <row r="494" spans="1:21" s="204" customFormat="1" ht="27" customHeight="1">
      <c r="A494" s="274">
        <f>IF(B494&lt;&gt;"",SUBTOTAL(103,$D$7:$D494),"")</f>
        <v>235</v>
      </c>
      <c r="B494" s="220">
        <f>IF(C494&lt;&gt;"",SUBTOTAL(103,$C$494:$C494),"")</f>
        <v>1</v>
      </c>
      <c r="C494" s="221" t="s">
        <v>108</v>
      </c>
      <c r="D494" s="47" t="s">
        <v>109</v>
      </c>
      <c r="E494" s="42" t="s">
        <v>1056</v>
      </c>
      <c r="F494" s="42" t="s">
        <v>110</v>
      </c>
      <c r="G494" s="42" t="s">
        <v>346</v>
      </c>
      <c r="H494" s="42" t="s">
        <v>366</v>
      </c>
      <c r="I494" s="42" t="s">
        <v>44</v>
      </c>
      <c r="J494" s="45">
        <v>41640</v>
      </c>
      <c r="K494" s="127">
        <v>20</v>
      </c>
      <c r="L494" s="362" t="s">
        <v>46</v>
      </c>
      <c r="M494" s="363"/>
      <c r="N494" s="128">
        <v>0</v>
      </c>
      <c r="O494" s="129">
        <v>1150000</v>
      </c>
      <c r="P494" s="129">
        <f>Q494+R494+S494</f>
        <v>34500000</v>
      </c>
      <c r="Q494" s="129">
        <f>O494*N494*1.5</f>
        <v>0</v>
      </c>
      <c r="R494" s="129">
        <v>0</v>
      </c>
      <c r="S494" s="129">
        <f>+O494*30</f>
        <v>34500000</v>
      </c>
      <c r="T494" s="258" t="s">
        <v>2084</v>
      </c>
      <c r="U494" s="240">
        <v>42646</v>
      </c>
    </row>
    <row r="495" spans="1:21" s="204" customFormat="1" ht="27" customHeight="1">
      <c r="A495" s="274">
        <f>IF(B495&lt;&gt;"",SUBTOTAL(103,$D$7:$D495),"")</f>
        <v>236</v>
      </c>
      <c r="B495" s="220">
        <f>IF(C495&lt;&gt;"",SUBTOTAL(103,$C$494:$C495),"")</f>
        <v>2</v>
      </c>
      <c r="C495" s="221" t="s">
        <v>111</v>
      </c>
      <c r="D495" s="47" t="s">
        <v>112</v>
      </c>
      <c r="E495" s="42" t="s">
        <v>1057</v>
      </c>
      <c r="F495" s="42" t="s">
        <v>113</v>
      </c>
      <c r="G495" s="42" t="s">
        <v>346</v>
      </c>
      <c r="H495" s="42" t="s">
        <v>114</v>
      </c>
      <c r="I495" s="42" t="s">
        <v>44</v>
      </c>
      <c r="J495" s="45">
        <v>41640</v>
      </c>
      <c r="K495" s="127">
        <v>20</v>
      </c>
      <c r="L495" s="362" t="s">
        <v>46</v>
      </c>
      <c r="M495" s="363"/>
      <c r="N495" s="128">
        <v>0</v>
      </c>
      <c r="O495" s="129">
        <v>1150000</v>
      </c>
      <c r="P495" s="129">
        <f>Q495+R495+S495</f>
        <v>34500000</v>
      </c>
      <c r="Q495" s="129">
        <f>O495*N495*1.5</f>
        <v>0</v>
      </c>
      <c r="R495" s="129">
        <v>0</v>
      </c>
      <c r="S495" s="129">
        <f>+O495*30</f>
        <v>34500000</v>
      </c>
      <c r="T495" s="258" t="s">
        <v>2082</v>
      </c>
      <c r="U495" s="240">
        <v>42646</v>
      </c>
    </row>
    <row r="496" spans="1:21" s="204" customFormat="1" ht="27" customHeight="1">
      <c r="A496" s="274">
        <f>IF(B496&lt;&gt;"",SUBTOTAL(103,$D$7:$D496),"")</f>
        <v>237</v>
      </c>
      <c r="B496" s="220">
        <f>IF(C496&lt;&gt;"",SUBTOTAL(103,$C$494:$C496),"")</f>
        <v>3</v>
      </c>
      <c r="C496" s="221" t="s">
        <v>115</v>
      </c>
      <c r="D496" s="47" t="s">
        <v>116</v>
      </c>
      <c r="E496" s="42" t="s">
        <v>1058</v>
      </c>
      <c r="F496" s="42" t="s">
        <v>117</v>
      </c>
      <c r="G496" s="42" t="s">
        <v>346</v>
      </c>
      <c r="H496" s="42" t="s">
        <v>118</v>
      </c>
      <c r="I496" s="42" t="s">
        <v>44</v>
      </c>
      <c r="J496" s="45">
        <v>41641</v>
      </c>
      <c r="K496" s="127">
        <v>20</v>
      </c>
      <c r="L496" s="362" t="s">
        <v>46</v>
      </c>
      <c r="M496" s="363"/>
      <c r="N496" s="128">
        <v>0</v>
      </c>
      <c r="O496" s="129">
        <v>1150000</v>
      </c>
      <c r="P496" s="129">
        <f>Q496+R496+S496</f>
        <v>34500000</v>
      </c>
      <c r="Q496" s="129">
        <f>O496*N496*1.5</f>
        <v>0</v>
      </c>
      <c r="R496" s="129">
        <v>0</v>
      </c>
      <c r="S496" s="129">
        <f>+O496*30</f>
        <v>34500000</v>
      </c>
      <c r="T496" s="258" t="s">
        <v>2082</v>
      </c>
      <c r="U496" s="240">
        <v>42646</v>
      </c>
    </row>
    <row r="497" spans="1:21" s="204" customFormat="1" ht="27" customHeight="1">
      <c r="A497" s="274">
        <f>IF(B497&lt;&gt;"",SUBTOTAL(103,$D$7:$D497),"")</f>
        <v>238</v>
      </c>
      <c r="B497" s="220">
        <f>IF(C497&lt;&gt;"",SUBTOTAL(103,$C$494:$C497),"")</f>
        <v>4</v>
      </c>
      <c r="C497" s="221" t="s">
        <v>1059</v>
      </c>
      <c r="D497" s="47" t="s">
        <v>379</v>
      </c>
      <c r="E497" s="42" t="s">
        <v>2153</v>
      </c>
      <c r="F497" s="42" t="s">
        <v>119</v>
      </c>
      <c r="G497" s="42" t="s">
        <v>346</v>
      </c>
      <c r="H497" s="42" t="s">
        <v>120</v>
      </c>
      <c r="I497" s="42" t="s">
        <v>44</v>
      </c>
      <c r="J497" s="45">
        <v>41642</v>
      </c>
      <c r="K497" s="127">
        <v>20</v>
      </c>
      <c r="L497" s="362" t="s">
        <v>46</v>
      </c>
      <c r="M497" s="363"/>
      <c r="N497" s="128">
        <v>0</v>
      </c>
      <c r="O497" s="129">
        <v>1150000</v>
      </c>
      <c r="P497" s="129">
        <f>Q497+R497+S497</f>
        <v>34500000</v>
      </c>
      <c r="Q497" s="129">
        <f>O497*N497*1.5</f>
        <v>0</v>
      </c>
      <c r="R497" s="129">
        <v>0</v>
      </c>
      <c r="S497" s="129">
        <f>+O497*30</f>
        <v>34500000</v>
      </c>
      <c r="T497" s="258" t="s">
        <v>2084</v>
      </c>
      <c r="U497" s="240">
        <v>42646</v>
      </c>
    </row>
    <row r="498" spans="1:21" s="273" customFormat="1" ht="27" customHeight="1" collapsed="1">
      <c r="A498" s="274">
        <f>IF(B498&lt;&gt;"",SUBTOTAL(103,$D$7:$D498),"")</f>
      </c>
      <c r="B498" s="213"/>
      <c r="C498" s="214" t="s">
        <v>710</v>
      </c>
      <c r="D498" s="218"/>
      <c r="E498" s="7"/>
      <c r="F498" s="7"/>
      <c r="G498" s="7"/>
      <c r="H498" s="7"/>
      <c r="I498" s="7"/>
      <c r="J498" s="136"/>
      <c r="K498" s="20"/>
      <c r="L498" s="21"/>
      <c r="M498" s="21"/>
      <c r="N498" s="22"/>
      <c r="O498" s="11"/>
      <c r="P498" s="12">
        <f>SUBTOTAL(109,P499:P502)</f>
        <v>70470000</v>
      </c>
      <c r="Q498" s="12">
        <f>SUBTOTAL(109,Q499:Q502)</f>
        <v>21420000</v>
      </c>
      <c r="R498" s="12">
        <f>SUBTOTAL(109,R499:R502)</f>
        <v>14550000</v>
      </c>
      <c r="S498" s="12">
        <f>SUBTOTAL(109,S499:S502)</f>
        <v>34500000</v>
      </c>
      <c r="T498" s="262"/>
      <c r="U498" s="216"/>
    </row>
    <row r="499" spans="1:21" s="204" customFormat="1" ht="27" customHeight="1">
      <c r="A499" s="274">
        <f>IF(B499&lt;&gt;"",SUBTOTAL(103,$D$7:$D499),"")</f>
        <v>239</v>
      </c>
      <c r="B499" s="220">
        <f>IF(C499&lt;&gt;"",SUBTOTAL(103,$C$499:$C499),"")</f>
        <v>1</v>
      </c>
      <c r="C499" s="221" t="s">
        <v>709</v>
      </c>
      <c r="D499" s="47" t="s">
        <v>347</v>
      </c>
      <c r="E499" s="42" t="s">
        <v>348</v>
      </c>
      <c r="F499" s="42" t="s">
        <v>349</v>
      </c>
      <c r="G499" s="42" t="s">
        <v>346</v>
      </c>
      <c r="H499" s="42" t="s">
        <v>206</v>
      </c>
      <c r="I499" s="42" t="s">
        <v>44</v>
      </c>
      <c r="J499" s="45">
        <v>41244</v>
      </c>
      <c r="K499" s="128">
        <v>20</v>
      </c>
      <c r="L499" s="362" t="s">
        <v>46</v>
      </c>
      <c r="M499" s="363"/>
      <c r="N499" s="274">
        <v>0</v>
      </c>
      <c r="O499" s="58"/>
      <c r="P499" s="129">
        <f>Q499+R499+S499</f>
        <v>49050000</v>
      </c>
      <c r="Q499" s="129"/>
      <c r="R499" s="129">
        <f>11400000+3150000</f>
        <v>14550000</v>
      </c>
      <c r="S499" s="137">
        <f>30*1150000</f>
        <v>34500000</v>
      </c>
      <c r="T499" s="221" t="s">
        <v>2085</v>
      </c>
      <c r="U499" s="222"/>
    </row>
    <row r="500" spans="1:21" s="276" customFormat="1" ht="27" customHeight="1" collapsed="1">
      <c r="A500" s="274">
        <f>IF(B500&lt;&gt;"",SUBTOTAL(103,$D$7:$D500),"")</f>
        <v>240</v>
      </c>
      <c r="B500" s="220">
        <f>IF(C500&lt;&gt;"",SUBTOTAL(103,$C$499:$C500),"")</f>
        <v>2</v>
      </c>
      <c r="C500" s="221" t="s">
        <v>712</v>
      </c>
      <c r="D500" s="47" t="s">
        <v>792</v>
      </c>
      <c r="E500" s="42" t="s">
        <v>793</v>
      </c>
      <c r="F500" s="42" t="s">
        <v>794</v>
      </c>
      <c r="G500" s="42" t="s">
        <v>341</v>
      </c>
      <c r="H500" s="42" t="s">
        <v>391</v>
      </c>
      <c r="I500" s="42" t="s">
        <v>745</v>
      </c>
      <c r="J500" s="45">
        <v>41640</v>
      </c>
      <c r="K500" s="128">
        <v>20</v>
      </c>
      <c r="L500" s="45">
        <v>42370</v>
      </c>
      <c r="M500" s="45">
        <v>42705</v>
      </c>
      <c r="N500" s="128">
        <f>DATEDIF(L500,M500,"m")+1</f>
        <v>12</v>
      </c>
      <c r="O500" s="58"/>
      <c r="P500" s="129">
        <f>SUM(Q500:S500)</f>
        <v>21420000</v>
      </c>
      <c r="Q500" s="129">
        <f>SUM(Q501:Q502)</f>
        <v>21420000</v>
      </c>
      <c r="R500" s="129">
        <v>0</v>
      </c>
      <c r="S500" s="129">
        <v>0</v>
      </c>
      <c r="T500" s="258" t="s">
        <v>1964</v>
      </c>
      <c r="U500" s="240">
        <v>42664</v>
      </c>
    </row>
    <row r="501" spans="1:21" s="276" customFormat="1" ht="27" customHeight="1" hidden="1" outlineLevel="1">
      <c r="A501" s="274">
        <f>IF(B501&lt;&gt;"",SUBTOTAL(103,$D$7:$D501),"")</f>
      </c>
      <c r="B501" s="220"/>
      <c r="C501" s="221"/>
      <c r="D501" s="47"/>
      <c r="E501" s="42"/>
      <c r="F501" s="42"/>
      <c r="G501" s="42"/>
      <c r="H501" s="42"/>
      <c r="I501" s="42"/>
      <c r="J501" s="45"/>
      <c r="K501" s="128"/>
      <c r="L501" s="45">
        <v>42370</v>
      </c>
      <c r="M501" s="45">
        <v>42461</v>
      </c>
      <c r="N501" s="128">
        <f>DATEDIF(L501,M501,"m")+1</f>
        <v>4</v>
      </c>
      <c r="O501" s="129">
        <v>1150000</v>
      </c>
      <c r="P501" s="129"/>
      <c r="Q501" s="129">
        <f>N501*O501*1.5</f>
        <v>6900000</v>
      </c>
      <c r="R501" s="129"/>
      <c r="S501" s="129"/>
      <c r="T501" s="258"/>
      <c r="U501" s="240"/>
    </row>
    <row r="502" spans="1:21" s="276" customFormat="1" ht="27" customHeight="1" hidden="1" outlineLevel="1">
      <c r="A502" s="274">
        <f>IF(B502&lt;&gt;"",SUBTOTAL(103,$D$7:$D502),"")</f>
      </c>
      <c r="B502" s="220"/>
      <c r="C502" s="221"/>
      <c r="D502" s="47"/>
      <c r="E502" s="42"/>
      <c r="F502" s="42"/>
      <c r="G502" s="42"/>
      <c r="H502" s="42"/>
      <c r="I502" s="42"/>
      <c r="J502" s="45"/>
      <c r="K502" s="128"/>
      <c r="L502" s="45">
        <v>42491</v>
      </c>
      <c r="M502" s="45">
        <v>42705</v>
      </c>
      <c r="N502" s="128">
        <f>DATEDIF(L502,M502,"m")+1</f>
        <v>8</v>
      </c>
      <c r="O502" s="129">
        <v>1210000</v>
      </c>
      <c r="P502" s="129"/>
      <c r="Q502" s="129">
        <f>N502*O502*1.5</f>
        <v>14520000</v>
      </c>
      <c r="R502" s="129"/>
      <c r="S502" s="129"/>
      <c r="T502" s="258"/>
      <c r="U502" s="240"/>
    </row>
    <row r="503" spans="1:21" s="273" customFormat="1" ht="27" customHeight="1" collapsed="1">
      <c r="A503" s="274">
        <f>IF(B503&lt;&gt;"",SUBTOTAL(103,$D$7:$D503),"")</f>
      </c>
      <c r="B503" s="213"/>
      <c r="C503" s="214" t="s">
        <v>300</v>
      </c>
      <c r="D503" s="218"/>
      <c r="E503" s="7"/>
      <c r="F503" s="7"/>
      <c r="G503" s="7"/>
      <c r="H503" s="7"/>
      <c r="I503" s="7"/>
      <c r="J503" s="136"/>
      <c r="K503" s="20"/>
      <c r="L503" s="21"/>
      <c r="M503" s="21"/>
      <c r="N503" s="22"/>
      <c r="O503" s="11"/>
      <c r="P503" s="12">
        <f>P504</f>
        <v>34500000</v>
      </c>
      <c r="Q503" s="12">
        <f>Q504</f>
        <v>0</v>
      </c>
      <c r="R503" s="12">
        <f>R504</f>
        <v>0</v>
      </c>
      <c r="S503" s="12">
        <f>S504</f>
        <v>34500000</v>
      </c>
      <c r="T503" s="262"/>
      <c r="U503" s="216"/>
    </row>
    <row r="504" spans="1:21" s="204" customFormat="1" ht="27" customHeight="1">
      <c r="A504" s="274">
        <f>IF(B504&lt;&gt;"",SUBTOTAL(103,$D$7:$D504),"")</f>
        <v>241</v>
      </c>
      <c r="B504" s="220">
        <f>IF(C504&lt;&gt;"",SUBTOTAL(103,$C$504:$C504),"")</f>
        <v>1</v>
      </c>
      <c r="C504" s="221" t="s">
        <v>301</v>
      </c>
      <c r="D504" s="47" t="s">
        <v>302</v>
      </c>
      <c r="E504" s="42" t="s">
        <v>303</v>
      </c>
      <c r="F504" s="42" t="s">
        <v>1054</v>
      </c>
      <c r="G504" s="42" t="s">
        <v>346</v>
      </c>
      <c r="H504" s="42" t="s">
        <v>206</v>
      </c>
      <c r="I504" s="42" t="s">
        <v>1055</v>
      </c>
      <c r="J504" s="45">
        <v>41061</v>
      </c>
      <c r="K504" s="127">
        <v>20</v>
      </c>
      <c r="L504" s="362" t="s">
        <v>46</v>
      </c>
      <c r="M504" s="363"/>
      <c r="N504" s="274">
        <v>0</v>
      </c>
      <c r="O504" s="58">
        <v>1150000</v>
      </c>
      <c r="P504" s="129">
        <f>Q504+R504+S504</f>
        <v>34500000</v>
      </c>
      <c r="Q504" s="129">
        <f>N504*O504*1.5</f>
        <v>0</v>
      </c>
      <c r="R504" s="129">
        <v>0</v>
      </c>
      <c r="S504" s="129">
        <f>30*O504</f>
        <v>34500000</v>
      </c>
      <c r="T504" s="258" t="s">
        <v>2086</v>
      </c>
      <c r="U504" s="222"/>
    </row>
    <row r="505" spans="1:21" s="273" customFormat="1" ht="27" customHeight="1">
      <c r="A505" s="274">
        <f>IF(B505&lt;&gt;"",SUBTOTAL(103,$D$7:$D505),"")</f>
      </c>
      <c r="B505" s="213"/>
      <c r="C505" s="214" t="s">
        <v>1064</v>
      </c>
      <c r="D505" s="218"/>
      <c r="E505" s="7"/>
      <c r="F505" s="7"/>
      <c r="G505" s="7"/>
      <c r="H505" s="7"/>
      <c r="I505" s="7"/>
      <c r="J505" s="136"/>
      <c r="K505" s="20"/>
      <c r="L505" s="21"/>
      <c r="M505" s="21"/>
      <c r="N505" s="22"/>
      <c r="O505" s="11"/>
      <c r="P505" s="12">
        <f>P506</f>
        <v>34500000</v>
      </c>
      <c r="Q505" s="12">
        <f>Q506</f>
        <v>0</v>
      </c>
      <c r="R505" s="12">
        <f>R506</f>
        <v>0</v>
      </c>
      <c r="S505" s="12">
        <f>S506</f>
        <v>34500000</v>
      </c>
      <c r="T505" s="262"/>
      <c r="U505" s="216"/>
    </row>
    <row r="506" spans="1:21" s="204" customFormat="1" ht="27" customHeight="1">
      <c r="A506" s="274">
        <f>IF(B506&lt;&gt;"",SUBTOTAL(103,$D$7:$D506),"")</f>
        <v>242</v>
      </c>
      <c r="B506" s="220">
        <f>IF(C506&lt;&gt;"",SUBTOTAL(103,$C$506:$C506),"")</f>
        <v>1</v>
      </c>
      <c r="C506" s="221" t="s">
        <v>1065</v>
      </c>
      <c r="D506" s="47" t="s">
        <v>315</v>
      </c>
      <c r="E506" s="42" t="s">
        <v>2154</v>
      </c>
      <c r="F506" s="42" t="s">
        <v>1066</v>
      </c>
      <c r="G506" s="42" t="s">
        <v>346</v>
      </c>
      <c r="H506" s="42" t="s">
        <v>1137</v>
      </c>
      <c r="I506" s="42" t="s">
        <v>1067</v>
      </c>
      <c r="J506" s="45">
        <v>41609</v>
      </c>
      <c r="K506" s="127">
        <v>20</v>
      </c>
      <c r="L506" s="362"/>
      <c r="M506" s="363"/>
      <c r="N506" s="128">
        <v>0</v>
      </c>
      <c r="O506" s="58">
        <v>1150000</v>
      </c>
      <c r="P506" s="129">
        <f>Q506+R506+S506</f>
        <v>34500000</v>
      </c>
      <c r="Q506" s="129">
        <f>N506*O506*1.5</f>
        <v>0</v>
      </c>
      <c r="R506" s="129">
        <v>0</v>
      </c>
      <c r="S506" s="129">
        <f>30*O506</f>
        <v>34500000</v>
      </c>
      <c r="T506" s="250" t="s">
        <v>1413</v>
      </c>
      <c r="U506" s="222"/>
    </row>
    <row r="507" spans="1:21" s="273" customFormat="1" ht="27" customHeight="1">
      <c r="A507" s="274">
        <f>IF(B507&lt;&gt;"",SUBTOTAL(103,$D$7:$D507),"")</f>
      </c>
      <c r="B507" s="213"/>
      <c r="C507" s="214" t="s">
        <v>326</v>
      </c>
      <c r="D507" s="218"/>
      <c r="E507" s="7"/>
      <c r="F507" s="7"/>
      <c r="G507" s="7"/>
      <c r="H507" s="7"/>
      <c r="I507" s="7"/>
      <c r="J507" s="136"/>
      <c r="K507" s="20"/>
      <c r="L507" s="21"/>
      <c r="M507" s="21"/>
      <c r="N507" s="22"/>
      <c r="O507" s="11"/>
      <c r="P507" s="12">
        <f>SUBTOTAL(109,P508:P540)</f>
        <v>660255000</v>
      </c>
      <c r="Q507" s="12">
        <f>SUBTOTAL(109,Q508:Q540)</f>
        <v>144135000</v>
      </c>
      <c r="R507" s="12">
        <f>SUBTOTAL(109,R508:R540)</f>
        <v>341820000</v>
      </c>
      <c r="S507" s="12">
        <f>SUBTOTAL(109,S508:S540)</f>
        <v>174300000</v>
      </c>
      <c r="T507" s="262"/>
      <c r="U507" s="216"/>
    </row>
    <row r="508" spans="1:21" s="204" customFormat="1" ht="27" customHeight="1">
      <c r="A508" s="274">
        <f>IF(B508&lt;&gt;"",SUBTOTAL(103,$D$7:$D508),"")</f>
        <v>243</v>
      </c>
      <c r="B508" s="220">
        <f>IF(C508&lt;&gt;"",SUBTOTAL(103,$C$508:$C508),"")</f>
        <v>1</v>
      </c>
      <c r="C508" s="221" t="s">
        <v>558</v>
      </c>
      <c r="D508" s="47" t="s">
        <v>559</v>
      </c>
      <c r="E508" s="42" t="s">
        <v>560</v>
      </c>
      <c r="F508" s="42" t="s">
        <v>561</v>
      </c>
      <c r="G508" s="42" t="s">
        <v>346</v>
      </c>
      <c r="H508" s="43" t="s">
        <v>157</v>
      </c>
      <c r="I508" s="42" t="s">
        <v>252</v>
      </c>
      <c r="J508" s="45">
        <v>41609</v>
      </c>
      <c r="K508" s="127">
        <v>20</v>
      </c>
      <c r="L508" s="362"/>
      <c r="M508" s="363"/>
      <c r="N508" s="128">
        <v>0</v>
      </c>
      <c r="O508" s="58">
        <v>1150000</v>
      </c>
      <c r="P508" s="129">
        <f aca="true" t="shared" si="33" ref="P508:P540">Q508+R508+S508</f>
        <v>15525000</v>
      </c>
      <c r="Q508" s="129">
        <f>N508*O508*1.5</f>
        <v>0</v>
      </c>
      <c r="R508" s="129">
        <f>8725000+6800000</f>
        <v>15525000</v>
      </c>
      <c r="S508" s="129">
        <v>0</v>
      </c>
      <c r="T508" s="258" t="s">
        <v>1536</v>
      </c>
      <c r="U508" s="240">
        <v>42654</v>
      </c>
    </row>
    <row r="509" spans="1:21" s="204" customFormat="1" ht="27" customHeight="1">
      <c r="A509" s="274">
        <f>IF(B509&lt;&gt;"",SUBTOTAL(103,$D$7:$D509),"")</f>
        <v>244</v>
      </c>
      <c r="B509" s="220">
        <f>IF(C509&lt;&gt;"",SUBTOTAL(103,$C$508:$C509),"")</f>
        <v>2</v>
      </c>
      <c r="C509" s="221" t="s">
        <v>562</v>
      </c>
      <c r="D509" s="47" t="s">
        <v>563</v>
      </c>
      <c r="E509" s="42" t="s">
        <v>2155</v>
      </c>
      <c r="F509" s="42" t="s">
        <v>564</v>
      </c>
      <c r="G509" s="42" t="s">
        <v>346</v>
      </c>
      <c r="H509" s="43" t="s">
        <v>157</v>
      </c>
      <c r="I509" s="42" t="s">
        <v>1005</v>
      </c>
      <c r="J509" s="45">
        <v>41609</v>
      </c>
      <c r="K509" s="127">
        <v>20</v>
      </c>
      <c r="L509" s="362" t="s">
        <v>46</v>
      </c>
      <c r="M509" s="363"/>
      <c r="N509" s="128">
        <v>0</v>
      </c>
      <c r="O509" s="58">
        <v>1150000</v>
      </c>
      <c r="P509" s="129">
        <f t="shared" si="33"/>
        <v>62125000</v>
      </c>
      <c r="Q509" s="129">
        <f>N509*O509*1.5</f>
        <v>0</v>
      </c>
      <c r="R509" s="129">
        <f>50000+7000000+6300000+7000000+7275000</f>
        <v>27625000</v>
      </c>
      <c r="S509" s="129">
        <f>30*O509</f>
        <v>34500000</v>
      </c>
      <c r="T509" s="258" t="s">
        <v>2087</v>
      </c>
      <c r="U509" s="240">
        <v>42654</v>
      </c>
    </row>
    <row r="510" spans="1:21" s="204" customFormat="1" ht="27" customHeight="1">
      <c r="A510" s="274">
        <f>IF(B510&lt;&gt;"",SUBTOTAL(103,$D$7:$D510),"")</f>
        <v>245</v>
      </c>
      <c r="B510" s="220">
        <f>IF(C510&lt;&gt;"",SUBTOTAL(103,$C$508:$C510),"")</f>
        <v>3</v>
      </c>
      <c r="C510" s="221" t="s">
        <v>578</v>
      </c>
      <c r="D510" s="47" t="s">
        <v>579</v>
      </c>
      <c r="E510" s="42" t="s">
        <v>580</v>
      </c>
      <c r="F510" s="42" t="s">
        <v>581</v>
      </c>
      <c r="G510" s="42" t="s">
        <v>346</v>
      </c>
      <c r="H510" s="43" t="s">
        <v>157</v>
      </c>
      <c r="I510" s="42" t="s">
        <v>577</v>
      </c>
      <c r="J510" s="45">
        <v>41609</v>
      </c>
      <c r="K510" s="128">
        <v>20</v>
      </c>
      <c r="L510" s="362" t="s">
        <v>46</v>
      </c>
      <c r="M510" s="363"/>
      <c r="N510" s="128">
        <v>0</v>
      </c>
      <c r="O510" s="129">
        <v>1150000</v>
      </c>
      <c r="P510" s="129">
        <f t="shared" si="33"/>
        <v>63025000</v>
      </c>
      <c r="Q510" s="129">
        <f>N510*O510*1.5</f>
        <v>0</v>
      </c>
      <c r="R510" s="129">
        <f>6300000+7000000+7275000+7000000+900000+50000</f>
        <v>28525000</v>
      </c>
      <c r="S510" s="129">
        <f>30*O510</f>
        <v>34500000</v>
      </c>
      <c r="T510" s="264" t="s">
        <v>2088</v>
      </c>
      <c r="U510" s="240">
        <v>42654</v>
      </c>
    </row>
    <row r="511" spans="1:21" s="204" customFormat="1" ht="27" customHeight="1">
      <c r="A511" s="274">
        <f>IF(B511&lt;&gt;"",SUBTOTAL(103,$D$7:$D511),"")</f>
        <v>246</v>
      </c>
      <c r="B511" s="220">
        <f>IF(C511&lt;&gt;"",SUBTOTAL(103,$C$508:$C511),"")</f>
        <v>4</v>
      </c>
      <c r="C511" s="245" t="s">
        <v>592</v>
      </c>
      <c r="D511" s="275" t="s">
        <v>593</v>
      </c>
      <c r="E511" s="43" t="s">
        <v>594</v>
      </c>
      <c r="F511" s="43" t="s">
        <v>595</v>
      </c>
      <c r="G511" s="43" t="s">
        <v>346</v>
      </c>
      <c r="H511" s="43" t="s">
        <v>729</v>
      </c>
      <c r="I511" s="42" t="s">
        <v>44</v>
      </c>
      <c r="J511" s="45">
        <v>41609</v>
      </c>
      <c r="K511" s="56">
        <v>20</v>
      </c>
      <c r="L511" s="362" t="s">
        <v>46</v>
      </c>
      <c r="M511" s="363"/>
      <c r="N511" s="128">
        <v>0</v>
      </c>
      <c r="O511" s="129">
        <v>1150000</v>
      </c>
      <c r="P511" s="129">
        <f t="shared" si="33"/>
        <v>48787500</v>
      </c>
      <c r="Q511" s="129">
        <f>N511*O511*1.5</f>
        <v>0</v>
      </c>
      <c r="R511" s="129">
        <f>1200000+8250000+3637500+1200000</f>
        <v>14287500</v>
      </c>
      <c r="S511" s="129">
        <f>30*O511</f>
        <v>34500000</v>
      </c>
      <c r="T511" s="256" t="s">
        <v>2089</v>
      </c>
      <c r="U511" s="241">
        <v>42654</v>
      </c>
    </row>
    <row r="512" spans="1:21" s="204" customFormat="1" ht="27" customHeight="1">
      <c r="A512" s="274">
        <f>IF(B512&lt;&gt;"",SUBTOTAL(103,$D$7:$D512),"")</f>
        <v>247</v>
      </c>
      <c r="B512" s="220">
        <f>IF(C512&lt;&gt;"",SUBTOTAL(103,$C$508:$C512),"")</f>
        <v>5</v>
      </c>
      <c r="C512" s="245" t="s">
        <v>601</v>
      </c>
      <c r="D512" s="275" t="s">
        <v>602</v>
      </c>
      <c r="E512" s="43" t="s">
        <v>2156</v>
      </c>
      <c r="F512" s="43" t="s">
        <v>603</v>
      </c>
      <c r="G512" s="43" t="s">
        <v>346</v>
      </c>
      <c r="H512" s="43" t="s">
        <v>199</v>
      </c>
      <c r="I512" s="42" t="s">
        <v>1005</v>
      </c>
      <c r="J512" s="45">
        <v>41760</v>
      </c>
      <c r="K512" s="56">
        <v>20</v>
      </c>
      <c r="L512" s="362" t="s">
        <v>46</v>
      </c>
      <c r="M512" s="363"/>
      <c r="N512" s="128">
        <v>0</v>
      </c>
      <c r="O512" s="129">
        <v>1210000</v>
      </c>
      <c r="P512" s="129">
        <f>SUM(Q512:S512)</f>
        <v>58875000</v>
      </c>
      <c r="Q512" s="129">
        <f>N512*O512*1.5</f>
        <v>0</v>
      </c>
      <c r="R512" s="129">
        <f>8250000+7275000+50000+7000000</f>
        <v>22575000</v>
      </c>
      <c r="S512" s="129">
        <f>30*O512</f>
        <v>36300000</v>
      </c>
      <c r="T512" s="129" t="s">
        <v>2090</v>
      </c>
      <c r="U512" s="241">
        <v>42654</v>
      </c>
    </row>
    <row r="513" spans="1:21" s="204" customFormat="1" ht="27" customHeight="1">
      <c r="A513" s="274">
        <f>IF(B513&lt;&gt;"",SUBTOTAL(103,$D$7:$D513),"")</f>
        <v>248</v>
      </c>
      <c r="B513" s="220">
        <f>IF(C513&lt;&gt;"",SUBTOTAL(103,$C$508:$C513),"")</f>
        <v>6</v>
      </c>
      <c r="C513" s="245" t="s">
        <v>604</v>
      </c>
      <c r="D513" s="275" t="s">
        <v>605</v>
      </c>
      <c r="E513" s="43" t="s">
        <v>2156</v>
      </c>
      <c r="F513" s="43" t="s">
        <v>606</v>
      </c>
      <c r="G513" s="43" t="s">
        <v>341</v>
      </c>
      <c r="H513" s="42" t="s">
        <v>206</v>
      </c>
      <c r="I513" s="42" t="s">
        <v>254</v>
      </c>
      <c r="J513" s="45">
        <v>41760</v>
      </c>
      <c r="K513" s="56">
        <v>20</v>
      </c>
      <c r="L513" s="278">
        <v>42370</v>
      </c>
      <c r="M513" s="278">
        <v>42644</v>
      </c>
      <c r="N513" s="128">
        <f>DATEDIF(L513,M513,"m")+1</f>
        <v>10</v>
      </c>
      <c r="O513" s="129"/>
      <c r="P513" s="129">
        <f t="shared" si="33"/>
        <v>59827500</v>
      </c>
      <c r="Q513" s="129">
        <f>+SUM(Q514:Q515)</f>
        <v>17790000</v>
      </c>
      <c r="R513" s="129">
        <f>19412500+10315000+7625000+4685000</f>
        <v>42037500</v>
      </c>
      <c r="S513" s="129">
        <v>0</v>
      </c>
      <c r="T513" s="256" t="s">
        <v>1534</v>
      </c>
      <c r="U513" s="241">
        <v>42654</v>
      </c>
    </row>
    <row r="514" spans="1:21" s="204" customFormat="1" ht="27" customHeight="1" hidden="1" outlineLevel="1">
      <c r="A514" s="274">
        <f>IF(B514&lt;&gt;"",SUBTOTAL(103,$D$7:$D514),"")</f>
      </c>
      <c r="B514" s="220">
        <f>IF(C514&lt;&gt;"",SUBTOTAL(103,$C$508:$C514),"")</f>
      </c>
      <c r="C514" s="245"/>
      <c r="D514" s="275"/>
      <c r="E514" s="43"/>
      <c r="F514" s="43"/>
      <c r="G514" s="43"/>
      <c r="H514" s="43"/>
      <c r="I514" s="42"/>
      <c r="J514" s="45"/>
      <c r="K514" s="56"/>
      <c r="L514" s="45">
        <v>42370</v>
      </c>
      <c r="M514" s="45">
        <v>42461</v>
      </c>
      <c r="N514" s="128">
        <f>DATEDIF(L514,M514,"m")+1</f>
        <v>4</v>
      </c>
      <c r="O514" s="129">
        <v>1150000</v>
      </c>
      <c r="P514" s="129">
        <f t="shared" si="33"/>
        <v>6900000</v>
      </c>
      <c r="Q514" s="129">
        <f>N514*O514*1.5</f>
        <v>6900000</v>
      </c>
      <c r="R514" s="129"/>
      <c r="S514" s="129"/>
      <c r="T514" s="256"/>
      <c r="U514" s="241"/>
    </row>
    <row r="515" spans="1:21" s="204" customFormat="1" ht="27" customHeight="1" hidden="1" outlineLevel="1">
      <c r="A515" s="274">
        <f>IF(B515&lt;&gt;"",SUBTOTAL(103,$D$7:$D515),"")</f>
      </c>
      <c r="B515" s="220">
        <f>IF(C515&lt;&gt;"",SUBTOTAL(103,$C$508:$C515),"")</f>
      </c>
      <c r="C515" s="245"/>
      <c r="D515" s="275"/>
      <c r="E515" s="43"/>
      <c r="F515" s="43"/>
      <c r="G515" s="43"/>
      <c r="H515" s="43"/>
      <c r="I515" s="42"/>
      <c r="J515" s="45"/>
      <c r="K515" s="56"/>
      <c r="L515" s="45">
        <v>42491</v>
      </c>
      <c r="M515" s="45">
        <v>42644</v>
      </c>
      <c r="N515" s="128">
        <f>DATEDIF(L515,M515,"m")+1</f>
        <v>6</v>
      </c>
      <c r="O515" s="129">
        <v>1210000</v>
      </c>
      <c r="P515" s="129">
        <f t="shared" si="33"/>
        <v>10890000</v>
      </c>
      <c r="Q515" s="129">
        <f>N515*O515*1.5</f>
        <v>10890000</v>
      </c>
      <c r="R515" s="129"/>
      <c r="S515" s="129"/>
      <c r="T515" s="256"/>
      <c r="U515" s="241"/>
    </row>
    <row r="516" spans="1:21" s="204" customFormat="1" ht="27" customHeight="1" collapsed="1">
      <c r="A516" s="274">
        <f>IF(B516&lt;&gt;"",SUBTOTAL(103,$D$7:$D516),"")</f>
        <v>249</v>
      </c>
      <c r="B516" s="220">
        <f>IF(C516&lt;&gt;"",SUBTOTAL(103,$C$508:$C516),"")</f>
        <v>7</v>
      </c>
      <c r="C516" s="245" t="s">
        <v>607</v>
      </c>
      <c r="D516" s="275" t="s">
        <v>608</v>
      </c>
      <c r="E516" s="43" t="s">
        <v>2157</v>
      </c>
      <c r="F516" s="43" t="s">
        <v>609</v>
      </c>
      <c r="G516" s="43" t="s">
        <v>346</v>
      </c>
      <c r="H516" s="43" t="s">
        <v>157</v>
      </c>
      <c r="I516" s="42" t="s">
        <v>1005</v>
      </c>
      <c r="J516" s="45">
        <v>41913</v>
      </c>
      <c r="K516" s="56">
        <v>15</v>
      </c>
      <c r="L516" s="45">
        <v>42370</v>
      </c>
      <c r="M516" s="45">
        <v>42491</v>
      </c>
      <c r="N516" s="128">
        <f aca="true" t="shared" si="34" ref="N516:N539">DATEDIF(L516,M516,"m")+1</f>
        <v>5</v>
      </c>
      <c r="O516" s="129"/>
      <c r="P516" s="129">
        <f>SUM(Q516:S516)</f>
        <v>33115000</v>
      </c>
      <c r="Q516" s="129">
        <f>SUM(Q517:Q518)</f>
        <v>8715000</v>
      </c>
      <c r="R516" s="129">
        <f>9150000+15250000</f>
        <v>24400000</v>
      </c>
      <c r="S516" s="129">
        <v>0</v>
      </c>
      <c r="T516" s="256" t="s">
        <v>1533</v>
      </c>
      <c r="U516" s="241">
        <v>42654</v>
      </c>
    </row>
    <row r="517" spans="1:21" s="204" customFormat="1" ht="27" customHeight="1" hidden="1" outlineLevel="1">
      <c r="A517" s="274">
        <f>IF(B517&lt;&gt;"",SUBTOTAL(103,$D$7:$D517),"")</f>
      </c>
      <c r="B517" s="220">
        <f>IF(C517&lt;&gt;"",SUBTOTAL(103,$C$508:$C517),"")</f>
      </c>
      <c r="C517" s="245"/>
      <c r="D517" s="275"/>
      <c r="E517" s="43"/>
      <c r="F517" s="43"/>
      <c r="G517" s="43"/>
      <c r="H517" s="43"/>
      <c r="I517" s="42"/>
      <c r="J517" s="45"/>
      <c r="K517" s="56"/>
      <c r="L517" s="45">
        <v>42370</v>
      </c>
      <c r="M517" s="45">
        <v>42461</v>
      </c>
      <c r="N517" s="128">
        <f>DATEDIF(L517,M517,"m")+1</f>
        <v>4</v>
      </c>
      <c r="O517" s="129">
        <v>1150000</v>
      </c>
      <c r="P517" s="129">
        <f t="shared" si="33"/>
        <v>6900000</v>
      </c>
      <c r="Q517" s="129">
        <f>N517*O517*1.5</f>
        <v>6900000</v>
      </c>
      <c r="R517" s="129"/>
      <c r="S517" s="129"/>
      <c r="T517" s="256"/>
      <c r="U517" s="242"/>
    </row>
    <row r="518" spans="1:21" s="204" customFormat="1" ht="27" customHeight="1" hidden="1" outlineLevel="1">
      <c r="A518" s="274">
        <f>IF(B518&lt;&gt;"",SUBTOTAL(103,$D$7:$D518),"")</f>
      </c>
      <c r="B518" s="220">
        <f>IF(C518&lt;&gt;"",SUBTOTAL(103,$C$508:$C518),"")</f>
      </c>
      <c r="C518" s="245"/>
      <c r="D518" s="275"/>
      <c r="E518" s="43"/>
      <c r="F518" s="43"/>
      <c r="G518" s="43"/>
      <c r="H518" s="43"/>
      <c r="I518" s="42"/>
      <c r="J518" s="45"/>
      <c r="K518" s="56"/>
      <c r="L518" s="45">
        <v>42491</v>
      </c>
      <c r="M518" s="45">
        <v>42491</v>
      </c>
      <c r="N518" s="128">
        <f>DATEDIF(L518,M518,"m")+1</f>
        <v>1</v>
      </c>
      <c r="O518" s="129">
        <v>1210000</v>
      </c>
      <c r="P518" s="129">
        <f t="shared" si="33"/>
        <v>1815000</v>
      </c>
      <c r="Q518" s="129">
        <f>N518*O518*1.5</f>
        <v>1815000</v>
      </c>
      <c r="R518" s="129"/>
      <c r="S518" s="129"/>
      <c r="T518" s="256"/>
      <c r="U518" s="242"/>
    </row>
    <row r="519" spans="1:21" s="204" customFormat="1" ht="27" customHeight="1" collapsed="1">
      <c r="A519" s="274">
        <f>IF(B519&lt;&gt;"",SUBTOTAL(103,$D$7:$D519),"")</f>
        <v>250</v>
      </c>
      <c r="B519" s="220">
        <f>IF(C519&lt;&gt;"",SUBTOTAL(103,$C$508:$C519),"")</f>
        <v>8</v>
      </c>
      <c r="C519" s="245" t="s">
        <v>610</v>
      </c>
      <c r="D519" s="275" t="s">
        <v>611</v>
      </c>
      <c r="E519" s="43" t="s">
        <v>2158</v>
      </c>
      <c r="F519" s="43" t="s">
        <v>612</v>
      </c>
      <c r="G519" s="43" t="s">
        <v>346</v>
      </c>
      <c r="H519" s="43" t="s">
        <v>157</v>
      </c>
      <c r="I519" s="42" t="s">
        <v>1005</v>
      </c>
      <c r="J519" s="45">
        <v>41913</v>
      </c>
      <c r="K519" s="56">
        <v>15</v>
      </c>
      <c r="L519" s="45">
        <v>42370</v>
      </c>
      <c r="M519" s="45">
        <v>42491</v>
      </c>
      <c r="N519" s="128">
        <f t="shared" si="34"/>
        <v>5</v>
      </c>
      <c r="O519" s="129"/>
      <c r="P519" s="129">
        <f t="shared" si="33"/>
        <v>33765000</v>
      </c>
      <c r="Q519" s="129">
        <f>SUM(Q520:Q521)</f>
        <v>8715000</v>
      </c>
      <c r="R519" s="129">
        <f>8250000+7000000+50000+600000+9150000</f>
        <v>25050000</v>
      </c>
      <c r="S519" s="129">
        <v>0</v>
      </c>
      <c r="T519" s="256" t="s">
        <v>1532</v>
      </c>
      <c r="U519" s="241">
        <v>42654</v>
      </c>
    </row>
    <row r="520" spans="1:21" s="204" customFormat="1" ht="27" customHeight="1" hidden="1" outlineLevel="1">
      <c r="A520" s="274">
        <f>IF(B520&lt;&gt;"",SUBTOTAL(103,$D$7:$D520),"")</f>
      </c>
      <c r="B520" s="220">
        <f>IF(C520&lt;&gt;"",SUBTOTAL(103,$C$508:$C520),"")</f>
      </c>
      <c r="C520" s="245"/>
      <c r="D520" s="275"/>
      <c r="E520" s="43"/>
      <c r="F520" s="43"/>
      <c r="G520" s="43"/>
      <c r="H520" s="43"/>
      <c r="I520" s="42"/>
      <c r="J520" s="45"/>
      <c r="K520" s="56"/>
      <c r="L520" s="45">
        <v>42370</v>
      </c>
      <c r="M520" s="45">
        <v>42461</v>
      </c>
      <c r="N520" s="128">
        <f t="shared" si="34"/>
        <v>4</v>
      </c>
      <c r="O520" s="129">
        <v>1150000</v>
      </c>
      <c r="P520" s="129">
        <f>Q520+R520+S520</f>
        <v>6900000</v>
      </c>
      <c r="Q520" s="129">
        <f>N520*O520*1.5</f>
        <v>6900000</v>
      </c>
      <c r="R520" s="129"/>
      <c r="S520" s="129"/>
      <c r="T520" s="256"/>
      <c r="U520" s="242"/>
    </row>
    <row r="521" spans="1:21" s="204" customFormat="1" ht="27" customHeight="1" hidden="1" outlineLevel="1">
      <c r="A521" s="274">
        <f>IF(B521&lt;&gt;"",SUBTOTAL(103,$D$7:$D521),"")</f>
      </c>
      <c r="B521" s="220">
        <f>IF(C521&lt;&gt;"",SUBTOTAL(103,$C$508:$C521),"")</f>
      </c>
      <c r="C521" s="245"/>
      <c r="D521" s="275"/>
      <c r="E521" s="43"/>
      <c r="F521" s="43"/>
      <c r="G521" s="43"/>
      <c r="H521" s="43"/>
      <c r="I521" s="42"/>
      <c r="J521" s="45"/>
      <c r="K521" s="56"/>
      <c r="L521" s="45">
        <v>42491</v>
      </c>
      <c r="M521" s="45">
        <v>42491</v>
      </c>
      <c r="N521" s="128">
        <f t="shared" si="34"/>
        <v>1</v>
      </c>
      <c r="O521" s="129">
        <v>1210000</v>
      </c>
      <c r="P521" s="129">
        <f>Q521+R521+S521</f>
        <v>1815000</v>
      </c>
      <c r="Q521" s="129">
        <f>N521*O521*1.5</f>
        <v>1815000</v>
      </c>
      <c r="R521" s="129"/>
      <c r="S521" s="129"/>
      <c r="T521" s="256"/>
      <c r="U521" s="242"/>
    </row>
    <row r="522" spans="1:21" s="204" customFormat="1" ht="27" customHeight="1" collapsed="1">
      <c r="A522" s="274">
        <f>IF(B522&lt;&gt;"",SUBTOTAL(103,$D$7:$D522),"")</f>
        <v>251</v>
      </c>
      <c r="B522" s="220">
        <f>IF(C522&lt;&gt;"",SUBTOTAL(103,$C$508:$C522),"")</f>
        <v>9</v>
      </c>
      <c r="C522" s="245" t="s">
        <v>213</v>
      </c>
      <c r="D522" s="275" t="s">
        <v>613</v>
      </c>
      <c r="E522" s="43" t="s">
        <v>1124</v>
      </c>
      <c r="F522" s="43" t="s">
        <v>614</v>
      </c>
      <c r="G522" s="43" t="s">
        <v>346</v>
      </c>
      <c r="H522" s="42" t="s">
        <v>206</v>
      </c>
      <c r="I522" s="42" t="s">
        <v>615</v>
      </c>
      <c r="J522" s="45">
        <v>41913</v>
      </c>
      <c r="K522" s="56">
        <v>15</v>
      </c>
      <c r="L522" s="45">
        <v>42370</v>
      </c>
      <c r="M522" s="45">
        <v>42491</v>
      </c>
      <c r="N522" s="128">
        <f t="shared" si="34"/>
        <v>5</v>
      </c>
      <c r="O522" s="129">
        <v>1150000</v>
      </c>
      <c r="P522" s="129">
        <f t="shared" si="33"/>
        <v>57770000</v>
      </c>
      <c r="Q522" s="129">
        <f>SUM(Q523:Q524)</f>
        <v>8715000</v>
      </c>
      <c r="R522" s="129">
        <f>8250000+4125000+180000+2000000</f>
        <v>14555000</v>
      </c>
      <c r="S522" s="129">
        <f>30*O522</f>
        <v>34500000</v>
      </c>
      <c r="T522" s="256" t="s">
        <v>2091</v>
      </c>
      <c r="U522" s="241">
        <v>42654</v>
      </c>
    </row>
    <row r="523" spans="1:21" s="204" customFormat="1" ht="27" customHeight="1" hidden="1" outlineLevel="1">
      <c r="A523" s="274">
        <f>IF(B523&lt;&gt;"",SUBTOTAL(103,$D$7:$D523),"")</f>
      </c>
      <c r="B523" s="220">
        <f>IF(C523&lt;&gt;"",SUBTOTAL(103,$C$508:$C523),"")</f>
      </c>
      <c r="C523" s="245"/>
      <c r="D523" s="275"/>
      <c r="E523" s="43"/>
      <c r="F523" s="43"/>
      <c r="G523" s="43"/>
      <c r="H523" s="43"/>
      <c r="I523" s="42"/>
      <c r="J523" s="45"/>
      <c r="K523" s="56"/>
      <c r="L523" s="45">
        <v>42370</v>
      </c>
      <c r="M523" s="45">
        <v>42461</v>
      </c>
      <c r="N523" s="128">
        <f t="shared" si="34"/>
        <v>4</v>
      </c>
      <c r="O523" s="129">
        <v>1150000</v>
      </c>
      <c r="P523" s="129">
        <f>Q523+R523+S523</f>
        <v>6900000</v>
      </c>
      <c r="Q523" s="129">
        <f>N523*O523*1.5</f>
        <v>6900000</v>
      </c>
      <c r="R523" s="129"/>
      <c r="S523" s="129"/>
      <c r="T523" s="256"/>
      <c r="U523" s="242"/>
    </row>
    <row r="524" spans="1:21" s="204" customFormat="1" ht="27" customHeight="1" hidden="1" outlineLevel="1">
      <c r="A524" s="274">
        <f>IF(B524&lt;&gt;"",SUBTOTAL(103,$D$7:$D524),"")</f>
      </c>
      <c r="B524" s="220">
        <f>IF(C524&lt;&gt;"",SUBTOTAL(103,$C$508:$C524),"")</f>
      </c>
      <c r="C524" s="245"/>
      <c r="D524" s="275"/>
      <c r="E524" s="43"/>
      <c r="F524" s="43"/>
      <c r="G524" s="43"/>
      <c r="H524" s="43"/>
      <c r="I524" s="42"/>
      <c r="J524" s="45"/>
      <c r="K524" s="56"/>
      <c r="L524" s="45">
        <v>42491</v>
      </c>
      <c r="M524" s="45">
        <v>42491</v>
      </c>
      <c r="N524" s="128">
        <f t="shared" si="34"/>
        <v>1</v>
      </c>
      <c r="O524" s="129">
        <v>1210000</v>
      </c>
      <c r="P524" s="129">
        <f>Q524+R524+S524</f>
        <v>1815000</v>
      </c>
      <c r="Q524" s="129">
        <f>N524*O524*1.5</f>
        <v>1815000</v>
      </c>
      <c r="R524" s="129"/>
      <c r="S524" s="129"/>
      <c r="T524" s="256"/>
      <c r="U524" s="242"/>
    </row>
    <row r="525" spans="1:21" s="204" customFormat="1" ht="27" customHeight="1" collapsed="1">
      <c r="A525" s="274">
        <f>IF(B525&lt;&gt;"",SUBTOTAL(103,$D$7:$D525),"")</f>
        <v>252</v>
      </c>
      <c r="B525" s="220">
        <f>IF(C525&lt;&gt;"",SUBTOTAL(103,$C$508:$C525),"")</f>
        <v>10</v>
      </c>
      <c r="C525" s="245" t="s">
        <v>616</v>
      </c>
      <c r="D525" s="275" t="s">
        <v>617</v>
      </c>
      <c r="E525" s="43" t="s">
        <v>618</v>
      </c>
      <c r="F525" s="43" t="s">
        <v>619</v>
      </c>
      <c r="G525" s="43" t="s">
        <v>341</v>
      </c>
      <c r="H525" s="43" t="s">
        <v>157</v>
      </c>
      <c r="I525" s="42" t="s">
        <v>998</v>
      </c>
      <c r="J525" s="45">
        <v>41944</v>
      </c>
      <c r="K525" s="56">
        <v>14</v>
      </c>
      <c r="L525" s="45">
        <v>42370</v>
      </c>
      <c r="M525" s="45">
        <v>42705</v>
      </c>
      <c r="N525" s="128">
        <f t="shared" si="34"/>
        <v>12</v>
      </c>
      <c r="O525" s="129">
        <v>1150000</v>
      </c>
      <c r="P525" s="129">
        <f t="shared" si="33"/>
        <v>48920000</v>
      </c>
      <c r="Q525" s="129">
        <f>SUM(Q526:Q527)</f>
        <v>21420000</v>
      </c>
      <c r="R525" s="129">
        <f>13750000+13750000</f>
        <v>27500000</v>
      </c>
      <c r="S525" s="129">
        <v>0</v>
      </c>
      <c r="T525" s="256" t="s">
        <v>1535</v>
      </c>
      <c r="U525" s="241">
        <v>42654</v>
      </c>
    </row>
    <row r="526" spans="1:21" s="204" customFormat="1" ht="27" customHeight="1" hidden="1" outlineLevel="1">
      <c r="A526" s="274">
        <f>IF(B526&lt;&gt;"",SUBTOTAL(103,$D$7:$D526),"")</f>
      </c>
      <c r="B526" s="220">
        <f>IF(C526&lt;&gt;"",SUBTOTAL(103,$C$508:$C526),"")</f>
      </c>
      <c r="C526" s="245"/>
      <c r="D526" s="275"/>
      <c r="E526" s="43"/>
      <c r="F526" s="43"/>
      <c r="G526" s="43"/>
      <c r="H526" s="43"/>
      <c r="I526" s="42"/>
      <c r="J526" s="45"/>
      <c r="K526" s="56"/>
      <c r="L526" s="45">
        <v>42370</v>
      </c>
      <c r="M526" s="45">
        <v>42461</v>
      </c>
      <c r="N526" s="128">
        <f t="shared" si="34"/>
        <v>4</v>
      </c>
      <c r="O526" s="129">
        <v>1150000</v>
      </c>
      <c r="P526" s="129">
        <f t="shared" si="33"/>
        <v>6900000</v>
      </c>
      <c r="Q526" s="129">
        <f>N526*O526*1.5</f>
        <v>6900000</v>
      </c>
      <c r="R526" s="129"/>
      <c r="S526" s="129"/>
      <c r="T526" s="256"/>
      <c r="U526" s="242"/>
    </row>
    <row r="527" spans="1:21" s="204" customFormat="1" ht="27" customHeight="1" hidden="1" outlineLevel="1">
      <c r="A527" s="274">
        <f>IF(B527&lt;&gt;"",SUBTOTAL(103,$D$7:$D527),"")</f>
      </c>
      <c r="B527" s="220">
        <f>IF(C527&lt;&gt;"",SUBTOTAL(103,$C$508:$C527),"")</f>
      </c>
      <c r="C527" s="245"/>
      <c r="D527" s="275"/>
      <c r="E527" s="43"/>
      <c r="F527" s="43"/>
      <c r="G527" s="43"/>
      <c r="H527" s="43"/>
      <c r="I527" s="42"/>
      <c r="J527" s="45"/>
      <c r="K527" s="56"/>
      <c r="L527" s="45">
        <v>42491</v>
      </c>
      <c r="M527" s="45">
        <v>42705</v>
      </c>
      <c r="N527" s="128">
        <f t="shared" si="34"/>
        <v>8</v>
      </c>
      <c r="O527" s="129">
        <v>1210000</v>
      </c>
      <c r="P527" s="129">
        <f t="shared" si="33"/>
        <v>14520000</v>
      </c>
      <c r="Q527" s="129">
        <f>N527*O527*1.5</f>
        <v>14520000</v>
      </c>
      <c r="R527" s="129"/>
      <c r="S527" s="129"/>
      <c r="T527" s="256"/>
      <c r="U527" s="242"/>
    </row>
    <row r="528" spans="1:21" s="204" customFormat="1" ht="27" customHeight="1" collapsed="1">
      <c r="A528" s="274">
        <f>IF(B528&lt;&gt;"",SUBTOTAL(103,$D$7:$D528),"")</f>
        <v>253</v>
      </c>
      <c r="B528" s="220">
        <f>IF(C528&lt;&gt;"",SUBTOTAL(103,$C$508:$C528),"")</f>
        <v>11</v>
      </c>
      <c r="C528" s="245" t="s">
        <v>1581</v>
      </c>
      <c r="D528" s="275" t="s">
        <v>1582</v>
      </c>
      <c r="E528" s="43" t="s">
        <v>1583</v>
      </c>
      <c r="F528" s="43" t="s">
        <v>1584</v>
      </c>
      <c r="G528" s="43" t="s">
        <v>341</v>
      </c>
      <c r="H528" s="43" t="s">
        <v>157</v>
      </c>
      <c r="I528" s="42" t="s">
        <v>252</v>
      </c>
      <c r="J528" s="45">
        <v>42401</v>
      </c>
      <c r="K528" s="56">
        <v>0</v>
      </c>
      <c r="L528" s="45">
        <v>42401</v>
      </c>
      <c r="M528" s="45">
        <v>42705</v>
      </c>
      <c r="N528" s="128">
        <f t="shared" si="34"/>
        <v>11</v>
      </c>
      <c r="O528" s="129"/>
      <c r="P528" s="129">
        <f t="shared" si="33"/>
        <v>34945000</v>
      </c>
      <c r="Q528" s="129">
        <f>SUM(Q529:Q530)</f>
        <v>19695000</v>
      </c>
      <c r="R528" s="129">
        <v>15250000</v>
      </c>
      <c r="S528" s="129">
        <v>0</v>
      </c>
      <c r="T528" s="256" t="s">
        <v>2092</v>
      </c>
      <c r="U528" s="241">
        <v>42657</v>
      </c>
    </row>
    <row r="529" spans="1:21" s="204" customFormat="1" ht="27" customHeight="1" hidden="1" outlineLevel="1">
      <c r="A529" s="274">
        <f>IF(B529&lt;&gt;"",SUBTOTAL(103,$D$7:$D529),"")</f>
      </c>
      <c r="B529" s="220">
        <f>IF(C529&lt;&gt;"",SUBTOTAL(103,$C$508:$C529),"")</f>
      </c>
      <c r="C529" s="245"/>
      <c r="D529" s="275"/>
      <c r="E529" s="43"/>
      <c r="F529" s="43"/>
      <c r="G529" s="43"/>
      <c r="H529" s="43"/>
      <c r="I529" s="42"/>
      <c r="J529" s="45"/>
      <c r="K529" s="56"/>
      <c r="L529" s="45">
        <v>42401</v>
      </c>
      <c r="M529" s="45">
        <v>42461</v>
      </c>
      <c r="N529" s="128">
        <f t="shared" si="34"/>
        <v>3</v>
      </c>
      <c r="O529" s="129">
        <v>1150000</v>
      </c>
      <c r="P529" s="129">
        <f t="shared" si="33"/>
        <v>5175000</v>
      </c>
      <c r="Q529" s="129">
        <f>N529*O529*1.5</f>
        <v>5175000</v>
      </c>
      <c r="R529" s="129"/>
      <c r="S529" s="129"/>
      <c r="T529" s="256"/>
      <c r="U529" s="242"/>
    </row>
    <row r="530" spans="1:21" s="204" customFormat="1" ht="27" customHeight="1" hidden="1" outlineLevel="1">
      <c r="A530" s="274">
        <f>IF(B530&lt;&gt;"",SUBTOTAL(103,$D$7:$D530),"")</f>
      </c>
      <c r="B530" s="220">
        <f>IF(C530&lt;&gt;"",SUBTOTAL(103,$C$508:$C530),"")</f>
      </c>
      <c r="C530" s="245"/>
      <c r="D530" s="275"/>
      <c r="E530" s="43"/>
      <c r="F530" s="43"/>
      <c r="G530" s="43"/>
      <c r="H530" s="43"/>
      <c r="I530" s="42"/>
      <c r="J530" s="45"/>
      <c r="K530" s="56"/>
      <c r="L530" s="45">
        <v>42491</v>
      </c>
      <c r="M530" s="45">
        <v>42705</v>
      </c>
      <c r="N530" s="128">
        <f t="shared" si="34"/>
        <v>8</v>
      </c>
      <c r="O530" s="129">
        <v>1210000</v>
      </c>
      <c r="P530" s="129">
        <f t="shared" si="33"/>
        <v>14520000</v>
      </c>
      <c r="Q530" s="129">
        <f>N530*O530*1.5</f>
        <v>14520000</v>
      </c>
      <c r="R530" s="129"/>
      <c r="S530" s="129"/>
      <c r="T530" s="256"/>
      <c r="U530" s="242"/>
    </row>
    <row r="531" spans="1:21" s="204" customFormat="1" ht="27" customHeight="1" collapsed="1">
      <c r="A531" s="274">
        <f>IF(B531&lt;&gt;"",SUBTOTAL(103,$D$7:$D531),"")</f>
        <v>254</v>
      </c>
      <c r="B531" s="220">
        <f>IF(C531&lt;&gt;"",SUBTOTAL(103,$C$508:$C531),"")</f>
        <v>12</v>
      </c>
      <c r="C531" s="245" t="s">
        <v>1586</v>
      </c>
      <c r="D531" s="275" t="s">
        <v>1587</v>
      </c>
      <c r="E531" s="43" t="s">
        <v>1588</v>
      </c>
      <c r="F531" s="43" t="s">
        <v>1589</v>
      </c>
      <c r="G531" s="43" t="s">
        <v>1198</v>
      </c>
      <c r="H531" s="43" t="s">
        <v>157</v>
      </c>
      <c r="I531" s="42" t="s">
        <v>252</v>
      </c>
      <c r="J531" s="45">
        <v>42401</v>
      </c>
      <c r="K531" s="56">
        <v>0</v>
      </c>
      <c r="L531" s="45">
        <v>42401</v>
      </c>
      <c r="M531" s="45">
        <v>42705</v>
      </c>
      <c r="N531" s="128">
        <f t="shared" si="34"/>
        <v>11</v>
      </c>
      <c r="O531" s="129"/>
      <c r="P531" s="129">
        <f t="shared" si="33"/>
        <v>46315000</v>
      </c>
      <c r="Q531" s="129">
        <f>SUM(Q532:Q533)</f>
        <v>19695000</v>
      </c>
      <c r="R531" s="129">
        <f>10000000+420000+7000000+9200000</f>
        <v>26620000</v>
      </c>
      <c r="S531" s="129">
        <v>0</v>
      </c>
      <c r="T531" s="256" t="s">
        <v>2093</v>
      </c>
      <c r="U531" s="241">
        <v>42657</v>
      </c>
    </row>
    <row r="532" spans="1:21" s="204" customFormat="1" ht="27" customHeight="1" hidden="1" outlineLevel="1">
      <c r="A532" s="274">
        <f>IF(B532&lt;&gt;"",SUBTOTAL(103,$D$7:$D532),"")</f>
      </c>
      <c r="B532" s="220">
        <f>IF(C532&lt;&gt;"",SUBTOTAL(103,$C$508:$C532),"")</f>
      </c>
      <c r="C532" s="245"/>
      <c r="D532" s="275"/>
      <c r="E532" s="43"/>
      <c r="F532" s="43"/>
      <c r="G532" s="43"/>
      <c r="H532" s="43"/>
      <c r="I532" s="42"/>
      <c r="J532" s="45"/>
      <c r="K532" s="56"/>
      <c r="L532" s="45">
        <v>42401</v>
      </c>
      <c r="M532" s="45">
        <v>42461</v>
      </c>
      <c r="N532" s="128">
        <f t="shared" si="34"/>
        <v>3</v>
      </c>
      <c r="O532" s="129">
        <v>1150000</v>
      </c>
      <c r="P532" s="129">
        <f t="shared" si="33"/>
        <v>5175000</v>
      </c>
      <c r="Q532" s="129">
        <f>N532*O532*1.5</f>
        <v>5175000</v>
      </c>
      <c r="R532" s="129"/>
      <c r="S532" s="129"/>
      <c r="T532" s="256"/>
      <c r="U532" s="242"/>
    </row>
    <row r="533" spans="1:21" s="204" customFormat="1" ht="27" customHeight="1" hidden="1" outlineLevel="1">
      <c r="A533" s="274">
        <f>IF(B533&lt;&gt;"",SUBTOTAL(103,$D$7:$D533),"")</f>
      </c>
      <c r="B533" s="220">
        <f>IF(C533&lt;&gt;"",SUBTOTAL(103,$C$508:$C533),"")</f>
      </c>
      <c r="C533" s="245"/>
      <c r="D533" s="275"/>
      <c r="E533" s="43"/>
      <c r="F533" s="43"/>
      <c r="G533" s="43"/>
      <c r="H533" s="43"/>
      <c r="I533" s="42"/>
      <c r="J533" s="45"/>
      <c r="K533" s="56"/>
      <c r="L533" s="45">
        <v>42491</v>
      </c>
      <c r="M533" s="45">
        <v>42705</v>
      </c>
      <c r="N533" s="128">
        <f t="shared" si="34"/>
        <v>8</v>
      </c>
      <c r="O533" s="129">
        <v>1210000</v>
      </c>
      <c r="P533" s="129">
        <f t="shared" si="33"/>
        <v>14520000</v>
      </c>
      <c r="Q533" s="129">
        <f>N533*O533*1.5</f>
        <v>14520000</v>
      </c>
      <c r="R533" s="129"/>
      <c r="S533" s="129"/>
      <c r="T533" s="256"/>
      <c r="U533" s="242"/>
    </row>
    <row r="534" spans="1:21" s="204" customFormat="1" ht="27" customHeight="1" collapsed="1">
      <c r="A534" s="274">
        <f>IF(B534&lt;&gt;"",SUBTOTAL(103,$D$7:$D534),"")</f>
        <v>255</v>
      </c>
      <c r="B534" s="220">
        <f>IF(C534&lt;&gt;"",SUBTOTAL(103,$C$508:$C534),"")</f>
        <v>13</v>
      </c>
      <c r="C534" s="245" t="s">
        <v>1590</v>
      </c>
      <c r="D534" s="275" t="s">
        <v>289</v>
      </c>
      <c r="E534" s="43" t="s">
        <v>1591</v>
      </c>
      <c r="F534" s="43" t="s">
        <v>1592</v>
      </c>
      <c r="G534" s="43" t="s">
        <v>1198</v>
      </c>
      <c r="H534" s="43" t="s">
        <v>157</v>
      </c>
      <c r="I534" s="43" t="s">
        <v>252</v>
      </c>
      <c r="J534" s="45">
        <v>42401</v>
      </c>
      <c r="K534" s="56">
        <v>0</v>
      </c>
      <c r="L534" s="45">
        <v>42401</v>
      </c>
      <c r="M534" s="45">
        <v>42705</v>
      </c>
      <c r="N534" s="128">
        <f t="shared" si="34"/>
        <v>11</v>
      </c>
      <c r="O534" s="129"/>
      <c r="P534" s="129">
        <f t="shared" si="33"/>
        <v>35875000</v>
      </c>
      <c r="Q534" s="129">
        <f>SUM(Q535:Q536)</f>
        <v>19695000</v>
      </c>
      <c r="R534" s="129">
        <f>2000000+3000000+2000000+30000+9150000</f>
        <v>16180000</v>
      </c>
      <c r="S534" s="129">
        <v>0</v>
      </c>
      <c r="T534" s="256" t="s">
        <v>2094</v>
      </c>
      <c r="U534" s="241">
        <v>42657</v>
      </c>
    </row>
    <row r="535" spans="1:21" s="204" customFormat="1" ht="27" customHeight="1" hidden="1" outlineLevel="1">
      <c r="A535" s="274">
        <f>IF(B535&lt;&gt;"",SUBTOTAL(103,$D$7:$D535),"")</f>
      </c>
      <c r="B535" s="220">
        <f>IF(C535&lt;&gt;"",SUBTOTAL(103,$C$508:$C535),"")</f>
      </c>
      <c r="C535" s="245"/>
      <c r="D535" s="275"/>
      <c r="E535" s="43"/>
      <c r="F535" s="43"/>
      <c r="G535" s="43"/>
      <c r="H535" s="43"/>
      <c r="I535" s="43"/>
      <c r="J535" s="45"/>
      <c r="K535" s="56"/>
      <c r="L535" s="45">
        <v>42401</v>
      </c>
      <c r="M535" s="45">
        <v>42461</v>
      </c>
      <c r="N535" s="128">
        <f t="shared" si="34"/>
        <v>3</v>
      </c>
      <c r="O535" s="129">
        <v>1150000</v>
      </c>
      <c r="P535" s="129">
        <f t="shared" si="33"/>
        <v>5175000</v>
      </c>
      <c r="Q535" s="129">
        <f>N535*O535*1.5</f>
        <v>5175000</v>
      </c>
      <c r="R535" s="129"/>
      <c r="S535" s="129"/>
      <c r="T535" s="256"/>
      <c r="U535" s="242"/>
    </row>
    <row r="536" spans="1:21" s="204" customFormat="1" ht="27" customHeight="1" hidden="1" outlineLevel="1">
      <c r="A536" s="274">
        <f>IF(B536&lt;&gt;"",SUBTOTAL(103,$D$7:$D536),"")</f>
      </c>
      <c r="B536" s="220">
        <f>IF(C536&lt;&gt;"",SUBTOTAL(103,$C$508:$C536),"")</f>
      </c>
      <c r="C536" s="245"/>
      <c r="D536" s="275"/>
      <c r="E536" s="43"/>
      <c r="F536" s="43"/>
      <c r="G536" s="43"/>
      <c r="H536" s="43"/>
      <c r="I536" s="43"/>
      <c r="J536" s="45"/>
      <c r="K536" s="56"/>
      <c r="L536" s="45">
        <v>42491</v>
      </c>
      <c r="M536" s="45">
        <v>42705</v>
      </c>
      <c r="N536" s="128">
        <f t="shared" si="34"/>
        <v>8</v>
      </c>
      <c r="O536" s="129">
        <v>1210000</v>
      </c>
      <c r="P536" s="129">
        <f t="shared" si="33"/>
        <v>14520000</v>
      </c>
      <c r="Q536" s="129">
        <f>N536*O536*1.5</f>
        <v>14520000</v>
      </c>
      <c r="R536" s="129"/>
      <c r="S536" s="129"/>
      <c r="T536" s="256"/>
      <c r="U536" s="242"/>
    </row>
    <row r="537" spans="1:21" s="204" customFormat="1" ht="27" customHeight="1" collapsed="1">
      <c r="A537" s="274">
        <f>IF(B537&lt;&gt;"",SUBTOTAL(103,$D$7:$D537),"")</f>
        <v>256</v>
      </c>
      <c r="B537" s="220">
        <f>IF(C537&lt;&gt;"",SUBTOTAL(103,$C$508:$C537),"")</f>
        <v>14</v>
      </c>
      <c r="C537" s="245" t="s">
        <v>1593</v>
      </c>
      <c r="D537" s="275" t="s">
        <v>1594</v>
      </c>
      <c r="E537" s="43" t="s">
        <v>2178</v>
      </c>
      <c r="F537" s="43" t="s">
        <v>1595</v>
      </c>
      <c r="G537" s="43" t="s">
        <v>1198</v>
      </c>
      <c r="H537" s="43" t="s">
        <v>157</v>
      </c>
      <c r="I537" s="43" t="s">
        <v>252</v>
      </c>
      <c r="J537" s="45">
        <v>42401</v>
      </c>
      <c r="K537" s="56">
        <v>0</v>
      </c>
      <c r="L537" s="45">
        <v>42401</v>
      </c>
      <c r="M537" s="45">
        <v>42705</v>
      </c>
      <c r="N537" s="128">
        <f t="shared" si="34"/>
        <v>11</v>
      </c>
      <c r="O537" s="129"/>
      <c r="P537" s="129">
        <f t="shared" si="33"/>
        <v>38895000</v>
      </c>
      <c r="Q537" s="129">
        <f>SUM(Q538:Q539)</f>
        <v>19695000</v>
      </c>
      <c r="R537" s="129">
        <f>9200000+10000000</f>
        <v>19200000</v>
      </c>
      <c r="S537" s="129">
        <v>0</v>
      </c>
      <c r="T537" s="256" t="s">
        <v>1596</v>
      </c>
      <c r="U537" s="241">
        <v>42657</v>
      </c>
    </row>
    <row r="538" spans="1:21" s="204" customFormat="1" ht="27" customHeight="1" hidden="1" outlineLevel="1">
      <c r="A538" s="274">
        <f>IF(B538&lt;&gt;"",SUBTOTAL(103,$D$7:$D538),"")</f>
      </c>
      <c r="B538" s="220">
        <f>IF(C538&lt;&gt;"",SUBTOTAL(103,$C$508:$C538),"")</f>
      </c>
      <c r="C538" s="245"/>
      <c r="D538" s="275"/>
      <c r="E538" s="43"/>
      <c r="F538" s="43"/>
      <c r="G538" s="43"/>
      <c r="H538" s="43"/>
      <c r="I538" s="43"/>
      <c r="J538" s="45"/>
      <c r="K538" s="56"/>
      <c r="L538" s="45">
        <v>42401</v>
      </c>
      <c r="M538" s="45">
        <v>42461</v>
      </c>
      <c r="N538" s="128">
        <f t="shared" si="34"/>
        <v>3</v>
      </c>
      <c r="O538" s="129">
        <v>1150000</v>
      </c>
      <c r="P538" s="129">
        <f t="shared" si="33"/>
        <v>5175000</v>
      </c>
      <c r="Q538" s="129">
        <f>N538*O538*1.5</f>
        <v>5175000</v>
      </c>
      <c r="R538" s="129"/>
      <c r="S538" s="129"/>
      <c r="T538" s="256"/>
      <c r="U538" s="242"/>
    </row>
    <row r="539" spans="1:21" s="204" customFormat="1" ht="27" customHeight="1" hidden="1" outlineLevel="1">
      <c r="A539" s="274">
        <f>IF(B539&lt;&gt;"",SUBTOTAL(103,$D$7:$D539),"")</f>
      </c>
      <c r="B539" s="220">
        <f>IF(C539&lt;&gt;"",SUBTOTAL(103,$C$508:$C539),"")</f>
      </c>
      <c r="C539" s="245"/>
      <c r="D539" s="275"/>
      <c r="E539" s="43"/>
      <c r="F539" s="43"/>
      <c r="G539" s="43"/>
      <c r="H539" s="43"/>
      <c r="I539" s="43"/>
      <c r="J539" s="45"/>
      <c r="K539" s="56"/>
      <c r="L539" s="45">
        <v>42491</v>
      </c>
      <c r="M539" s="45">
        <v>42705</v>
      </c>
      <c r="N539" s="128">
        <f t="shared" si="34"/>
        <v>8</v>
      </c>
      <c r="O539" s="129">
        <v>1210000</v>
      </c>
      <c r="P539" s="129">
        <f t="shared" si="33"/>
        <v>14520000</v>
      </c>
      <c r="Q539" s="129">
        <f>N539*O539*1.5</f>
        <v>14520000</v>
      </c>
      <c r="R539" s="129"/>
      <c r="S539" s="129"/>
      <c r="T539" s="256"/>
      <c r="U539" s="242"/>
    </row>
    <row r="540" spans="1:21" s="204" customFormat="1" ht="27" customHeight="1" collapsed="1">
      <c r="A540" s="274">
        <f>IF(B540&lt;&gt;"",SUBTOTAL(103,$D$7:$D540),"")</f>
        <v>257</v>
      </c>
      <c r="B540" s="220">
        <f>IF(C540&lt;&gt;"",SUBTOTAL(103,$C$508:$C540),"")</f>
        <v>15</v>
      </c>
      <c r="C540" s="245" t="s">
        <v>1597</v>
      </c>
      <c r="D540" s="310" t="s">
        <v>2166</v>
      </c>
      <c r="E540" s="369"/>
      <c r="F540" s="370"/>
      <c r="G540" s="371"/>
      <c r="H540" s="99"/>
      <c r="I540" s="99"/>
      <c r="J540" s="100"/>
      <c r="K540" s="311"/>
      <c r="L540" s="100"/>
      <c r="M540" s="100"/>
      <c r="N540" s="312"/>
      <c r="O540" s="313"/>
      <c r="P540" s="129">
        <f t="shared" si="33"/>
        <v>22490000</v>
      </c>
      <c r="Q540" s="129">
        <v>0</v>
      </c>
      <c r="R540" s="129">
        <f>14240000+8250000</f>
        <v>22490000</v>
      </c>
      <c r="S540" s="129">
        <v>0</v>
      </c>
      <c r="T540" s="256" t="s">
        <v>1598</v>
      </c>
      <c r="U540" s="241">
        <v>42657</v>
      </c>
    </row>
    <row r="541" spans="1:21" s="273" customFormat="1" ht="27" customHeight="1">
      <c r="A541" s="274">
        <f>IF(B541&lt;&gt;"",SUBTOTAL(103,$D$7:$D541),"")</f>
      </c>
      <c r="B541" s="213"/>
      <c r="C541" s="214" t="s">
        <v>1160</v>
      </c>
      <c r="D541" s="218"/>
      <c r="E541" s="7"/>
      <c r="F541" s="7"/>
      <c r="G541" s="7"/>
      <c r="H541" s="7"/>
      <c r="I541" s="7"/>
      <c r="J541" s="136"/>
      <c r="K541" s="20"/>
      <c r="L541" s="21"/>
      <c r="M541" s="21"/>
      <c r="N541" s="22"/>
      <c r="O541" s="11"/>
      <c r="P541" s="12">
        <f>P542</f>
        <v>117750000</v>
      </c>
      <c r="Q541" s="12">
        <f>Q542</f>
        <v>0</v>
      </c>
      <c r="R541" s="12">
        <f>R542</f>
        <v>25750000</v>
      </c>
      <c r="S541" s="12">
        <f>S542</f>
        <v>92000000</v>
      </c>
      <c r="T541" s="262"/>
      <c r="U541" s="216"/>
    </row>
    <row r="542" spans="1:21" s="204" customFormat="1" ht="27" customHeight="1">
      <c r="A542" s="274">
        <f>IF(B542&lt;&gt;"",SUBTOTAL(103,$D$7:$D542),"")</f>
        <v>258</v>
      </c>
      <c r="B542" s="220">
        <f>IF(C542&lt;&gt;"",SUBTOTAL(103,$C$542:$C542),"")</f>
        <v>1</v>
      </c>
      <c r="C542" s="221" t="s">
        <v>61</v>
      </c>
      <c r="D542" s="47" t="s">
        <v>290</v>
      </c>
      <c r="E542" s="42" t="s">
        <v>291</v>
      </c>
      <c r="F542" s="42" t="s">
        <v>292</v>
      </c>
      <c r="G542" s="42" t="s">
        <v>341</v>
      </c>
      <c r="H542" s="42" t="s">
        <v>293</v>
      </c>
      <c r="I542" s="42" t="s">
        <v>665</v>
      </c>
      <c r="J542" s="45">
        <v>41153</v>
      </c>
      <c r="K542" s="127">
        <v>30</v>
      </c>
      <c r="L542" s="362" t="s">
        <v>46</v>
      </c>
      <c r="M542" s="363"/>
      <c r="N542" s="274">
        <v>0</v>
      </c>
      <c r="O542" s="58">
        <v>1150000</v>
      </c>
      <c r="P542" s="129">
        <f>Q542+R542+S542</f>
        <v>117750000</v>
      </c>
      <c r="Q542" s="129">
        <f>N542*O542*1.5</f>
        <v>0</v>
      </c>
      <c r="R542" s="129">
        <f>6000000*2+13750000</f>
        <v>25750000</v>
      </c>
      <c r="S542" s="129">
        <f>80*O542</f>
        <v>92000000</v>
      </c>
      <c r="T542" s="258" t="s">
        <v>2095</v>
      </c>
      <c r="U542" s="222"/>
    </row>
    <row r="543" spans="1:21" s="273" customFormat="1" ht="27" customHeight="1">
      <c r="A543" s="274">
        <f>IF(B543&lt;&gt;"",SUBTOTAL(103,$D$7:$D543),"")</f>
      </c>
      <c r="B543" s="213"/>
      <c r="C543" s="214" t="s">
        <v>713</v>
      </c>
      <c r="D543" s="218"/>
      <c r="E543" s="7"/>
      <c r="F543" s="7"/>
      <c r="G543" s="7"/>
      <c r="H543" s="7"/>
      <c r="I543" s="7"/>
      <c r="J543" s="136"/>
      <c r="K543" s="20"/>
      <c r="L543" s="21"/>
      <c r="M543" s="21"/>
      <c r="N543" s="22"/>
      <c r="O543" s="11"/>
      <c r="P543" s="12">
        <f>SUBTOTAL(109,P544:P552)</f>
        <v>262350000</v>
      </c>
      <c r="Q543" s="12">
        <f>SUBTOTAL(109,Q544:Q552)</f>
        <v>13130000</v>
      </c>
      <c r="R543" s="12">
        <f>SUBTOTAL(109,R544:R552)</f>
        <v>40420000</v>
      </c>
      <c r="S543" s="12">
        <f>SUBTOTAL(109,S544:S552)</f>
        <v>208800000</v>
      </c>
      <c r="T543" s="262"/>
      <c r="U543" s="216"/>
    </row>
    <row r="544" spans="1:21" s="204" customFormat="1" ht="27" customHeight="1">
      <c r="A544" s="274">
        <f>IF(B544&lt;&gt;"",SUBTOTAL(103,$D$7:$D544),"")</f>
        <v>259</v>
      </c>
      <c r="B544" s="220">
        <f>IF(C544&lt;&gt;"",SUBTOTAL(103,$C$544:$C544),"")</f>
        <v>1</v>
      </c>
      <c r="C544" s="221" t="s">
        <v>363</v>
      </c>
      <c r="D544" s="47" t="s">
        <v>364</v>
      </c>
      <c r="E544" s="42" t="s">
        <v>2159</v>
      </c>
      <c r="F544" s="42" t="s">
        <v>365</v>
      </c>
      <c r="G544" s="42" t="s">
        <v>346</v>
      </c>
      <c r="H544" s="42" t="s">
        <v>366</v>
      </c>
      <c r="I544" s="42" t="s">
        <v>362</v>
      </c>
      <c r="J544" s="45">
        <v>41244</v>
      </c>
      <c r="K544" s="127">
        <v>20</v>
      </c>
      <c r="L544" s="362" t="s">
        <v>46</v>
      </c>
      <c r="M544" s="363"/>
      <c r="N544" s="101">
        <v>0</v>
      </c>
      <c r="O544" s="137">
        <v>1150000</v>
      </c>
      <c r="P544" s="129">
        <f aca="true" t="shared" si="35" ref="P544:P552">Q544+R544+S544</f>
        <v>34500000</v>
      </c>
      <c r="Q544" s="129">
        <f>O544*N544*1.5</f>
        <v>0</v>
      </c>
      <c r="R544" s="129">
        <v>0</v>
      </c>
      <c r="S544" s="129">
        <f>O544*30</f>
        <v>34500000</v>
      </c>
      <c r="T544" s="250" t="s">
        <v>2096</v>
      </c>
      <c r="U544" s="222"/>
    </row>
    <row r="545" spans="1:21" s="204" customFormat="1" ht="27" customHeight="1">
      <c r="A545" s="274">
        <f>IF(B545&lt;&gt;"",SUBTOTAL(103,$D$7:$D545),"")</f>
        <v>260</v>
      </c>
      <c r="B545" s="220">
        <f>IF(C545&lt;&gt;"",SUBTOTAL(103,$C$544:$C545),"")</f>
        <v>2</v>
      </c>
      <c r="C545" s="221" t="s">
        <v>239</v>
      </c>
      <c r="D545" s="47" t="s">
        <v>240</v>
      </c>
      <c r="E545" s="42" t="s">
        <v>241</v>
      </c>
      <c r="F545" s="42" t="s">
        <v>242</v>
      </c>
      <c r="G545" s="42" t="s">
        <v>346</v>
      </c>
      <c r="H545" s="42" t="s">
        <v>243</v>
      </c>
      <c r="I545" s="42" t="s">
        <v>1145</v>
      </c>
      <c r="J545" s="45">
        <v>41183</v>
      </c>
      <c r="K545" s="127">
        <v>20</v>
      </c>
      <c r="L545" s="362" t="s">
        <v>46</v>
      </c>
      <c r="M545" s="363"/>
      <c r="N545" s="274">
        <v>0</v>
      </c>
      <c r="O545" s="58">
        <v>1150000</v>
      </c>
      <c r="P545" s="129">
        <f t="shared" si="35"/>
        <v>48045000</v>
      </c>
      <c r="Q545" s="129">
        <f>O545*N545*1.5</f>
        <v>0</v>
      </c>
      <c r="R545" s="129">
        <f>6178000+7367000</f>
        <v>13545000</v>
      </c>
      <c r="S545" s="129">
        <f>30*O545</f>
        <v>34500000</v>
      </c>
      <c r="T545" s="258" t="s">
        <v>2097</v>
      </c>
      <c r="U545" s="222"/>
    </row>
    <row r="546" spans="1:21" s="204" customFormat="1" ht="27" customHeight="1">
      <c r="A546" s="274">
        <f>IF(B546&lt;&gt;"",SUBTOTAL(103,$D$7:$D546),"")</f>
        <v>261</v>
      </c>
      <c r="B546" s="220">
        <f>IF(C546&lt;&gt;"",SUBTOTAL(103,$C$544:$C546),"")</f>
        <v>3</v>
      </c>
      <c r="C546" s="221" t="s">
        <v>213</v>
      </c>
      <c r="D546" s="47" t="s">
        <v>246</v>
      </c>
      <c r="E546" s="42" t="s">
        <v>247</v>
      </c>
      <c r="F546" s="42" t="s">
        <v>248</v>
      </c>
      <c r="G546" s="42" t="s">
        <v>346</v>
      </c>
      <c r="H546" s="42" t="s">
        <v>206</v>
      </c>
      <c r="I546" s="42" t="s">
        <v>245</v>
      </c>
      <c r="J546" s="45">
        <v>41214</v>
      </c>
      <c r="K546" s="127">
        <v>20</v>
      </c>
      <c r="L546" s="362" t="s">
        <v>46</v>
      </c>
      <c r="M546" s="363"/>
      <c r="N546" s="101">
        <v>0</v>
      </c>
      <c r="O546" s="137">
        <v>1150000</v>
      </c>
      <c r="P546" s="129">
        <f t="shared" si="35"/>
        <v>34500000</v>
      </c>
      <c r="Q546" s="129">
        <f>O546*N546*1.5</f>
        <v>0</v>
      </c>
      <c r="R546" s="129">
        <v>0</v>
      </c>
      <c r="S546" s="129">
        <f>30*O546</f>
        <v>34500000</v>
      </c>
      <c r="T546" s="258" t="s">
        <v>1985</v>
      </c>
      <c r="U546" s="222"/>
    </row>
    <row r="547" spans="1:21" s="204" customFormat="1" ht="27" customHeight="1">
      <c r="A547" s="274">
        <f>IF(B547&lt;&gt;"",SUBTOTAL(103,$D$7:$D547),"")</f>
        <v>262</v>
      </c>
      <c r="B547" s="220">
        <f>IF(C547&lt;&gt;"",SUBTOTAL(103,$C$544:$C547),"")</f>
        <v>4</v>
      </c>
      <c r="C547" s="221" t="s">
        <v>1238</v>
      </c>
      <c r="D547" s="47" t="s">
        <v>1239</v>
      </c>
      <c r="E547" s="42" t="s">
        <v>1240</v>
      </c>
      <c r="F547" s="42" t="s">
        <v>1241</v>
      </c>
      <c r="G547" s="42" t="s">
        <v>346</v>
      </c>
      <c r="H547" s="42" t="s">
        <v>477</v>
      </c>
      <c r="I547" s="42" t="s">
        <v>682</v>
      </c>
      <c r="J547" s="45">
        <v>42401</v>
      </c>
      <c r="K547" s="127">
        <v>0</v>
      </c>
      <c r="L547" s="45">
        <v>42401</v>
      </c>
      <c r="M547" s="45">
        <v>42705</v>
      </c>
      <c r="N547" s="128">
        <f>DATEDIF(L547,M547,"m")+1</f>
        <v>11</v>
      </c>
      <c r="O547" s="137"/>
      <c r="P547" s="129">
        <f t="shared" si="35"/>
        <v>13130000</v>
      </c>
      <c r="Q547" s="129">
        <f>SUM(Q548:Q549)</f>
        <v>13130000</v>
      </c>
      <c r="R547" s="129">
        <v>0</v>
      </c>
      <c r="S547" s="129">
        <v>0</v>
      </c>
      <c r="T547" s="265"/>
      <c r="U547" s="222"/>
    </row>
    <row r="548" spans="1:21" s="204" customFormat="1" ht="27" customHeight="1" hidden="1" outlineLevel="1">
      <c r="A548" s="274">
        <f>IF(B548&lt;&gt;"",SUBTOTAL(103,$D$7:$D548),"")</f>
      </c>
      <c r="B548" s="220">
        <f>IF(C548&lt;&gt;"",SUBTOTAL(103,$C$544:$C548),"")</f>
      </c>
      <c r="C548" s="221"/>
      <c r="D548" s="47"/>
      <c r="E548" s="42"/>
      <c r="F548" s="42"/>
      <c r="G548" s="42"/>
      <c r="H548" s="42"/>
      <c r="I548" s="42"/>
      <c r="J548" s="45"/>
      <c r="K548" s="127"/>
      <c r="L548" s="45">
        <v>42401</v>
      </c>
      <c r="M548" s="45">
        <v>42461</v>
      </c>
      <c r="N548" s="128">
        <f>DATEDIF(L548,M548,"m")+1</f>
        <v>3</v>
      </c>
      <c r="O548" s="137">
        <v>1150000</v>
      </c>
      <c r="P548" s="129"/>
      <c r="Q548" s="129">
        <f>O548*N548</f>
        <v>3450000</v>
      </c>
      <c r="R548" s="129"/>
      <c r="S548" s="129"/>
      <c r="T548" s="265"/>
      <c r="U548" s="222"/>
    </row>
    <row r="549" spans="1:21" s="204" customFormat="1" ht="27" customHeight="1" hidden="1" outlineLevel="1">
      <c r="A549" s="274">
        <f>IF(B549&lt;&gt;"",SUBTOTAL(103,$D$7:$D549),"")</f>
      </c>
      <c r="B549" s="220">
        <f>IF(C549&lt;&gt;"",SUBTOTAL(103,$C$544:$C549),"")</f>
      </c>
      <c r="C549" s="221"/>
      <c r="D549" s="47"/>
      <c r="E549" s="42"/>
      <c r="F549" s="42"/>
      <c r="G549" s="42"/>
      <c r="H549" s="42"/>
      <c r="I549" s="42"/>
      <c r="J549" s="45"/>
      <c r="K549" s="127"/>
      <c r="L549" s="45">
        <v>42491</v>
      </c>
      <c r="M549" s="45">
        <v>42705</v>
      </c>
      <c r="N549" s="128">
        <f>DATEDIF(L549,M549,"m")+1</f>
        <v>8</v>
      </c>
      <c r="O549" s="137">
        <v>1210000</v>
      </c>
      <c r="P549" s="129"/>
      <c r="Q549" s="129">
        <f>O549*N549</f>
        <v>9680000</v>
      </c>
      <c r="R549" s="129"/>
      <c r="S549" s="129"/>
      <c r="T549" s="265"/>
      <c r="U549" s="222"/>
    </row>
    <row r="550" spans="1:21" s="204" customFormat="1" ht="27" customHeight="1" collapsed="1">
      <c r="A550" s="274">
        <f>IF(B550&lt;&gt;"",SUBTOTAL(103,$D$7:$D550),"")</f>
        <v>263</v>
      </c>
      <c r="B550" s="220">
        <f>IF(C550&lt;&gt;"",SUBTOTAL(103,$C$544:$C550),"")</f>
        <v>5</v>
      </c>
      <c r="C550" s="221" t="s">
        <v>159</v>
      </c>
      <c r="D550" s="47" t="s">
        <v>160</v>
      </c>
      <c r="E550" s="42" t="s">
        <v>1125</v>
      </c>
      <c r="F550" s="42" t="s">
        <v>161</v>
      </c>
      <c r="G550" s="42" t="s">
        <v>346</v>
      </c>
      <c r="H550" s="42" t="s">
        <v>243</v>
      </c>
      <c r="I550" s="42" t="s">
        <v>1145</v>
      </c>
      <c r="J550" s="45">
        <v>41640</v>
      </c>
      <c r="K550" s="128">
        <v>20</v>
      </c>
      <c r="L550" s="362" t="s">
        <v>46</v>
      </c>
      <c r="M550" s="363"/>
      <c r="N550" s="128">
        <v>0</v>
      </c>
      <c r="O550" s="58">
        <v>1150000</v>
      </c>
      <c r="P550" s="137">
        <f t="shared" si="35"/>
        <v>34500000</v>
      </c>
      <c r="Q550" s="129">
        <f>O550*N550*1.5</f>
        <v>0</v>
      </c>
      <c r="R550" s="129">
        <v>0</v>
      </c>
      <c r="S550" s="129">
        <f>30*O550</f>
        <v>34500000</v>
      </c>
      <c r="T550" s="264" t="s">
        <v>2098</v>
      </c>
      <c r="U550" s="222"/>
    </row>
    <row r="551" spans="1:21" s="204" customFormat="1" ht="27" customHeight="1">
      <c r="A551" s="274">
        <f>IF(B551&lt;&gt;"",SUBTOTAL(103,$D$7:$D551),"")</f>
        <v>264</v>
      </c>
      <c r="B551" s="220">
        <f>IF(C551&lt;&gt;"",SUBTOTAL(103,$C$544:$C551),"")</f>
        <v>6</v>
      </c>
      <c r="C551" s="221" t="s">
        <v>1061</v>
      </c>
      <c r="D551" s="47" t="s">
        <v>162</v>
      </c>
      <c r="E551" s="42" t="s">
        <v>2160</v>
      </c>
      <c r="F551" s="42" t="s">
        <v>163</v>
      </c>
      <c r="G551" s="42" t="s">
        <v>346</v>
      </c>
      <c r="H551" s="42" t="s">
        <v>455</v>
      </c>
      <c r="I551" s="42" t="s">
        <v>164</v>
      </c>
      <c r="J551" s="45">
        <v>41640</v>
      </c>
      <c r="K551" s="128">
        <v>20</v>
      </c>
      <c r="L551" s="362" t="s">
        <v>46</v>
      </c>
      <c r="M551" s="363"/>
      <c r="N551" s="128">
        <v>0</v>
      </c>
      <c r="O551" s="58">
        <v>1150000</v>
      </c>
      <c r="P551" s="137">
        <f t="shared" si="35"/>
        <v>46125000</v>
      </c>
      <c r="Q551" s="129">
        <f>O551*N551*1.5</f>
        <v>0</v>
      </c>
      <c r="R551" s="129">
        <f>5425000+6200000</f>
        <v>11625000</v>
      </c>
      <c r="S551" s="129">
        <f>30*O551</f>
        <v>34500000</v>
      </c>
      <c r="T551" s="264" t="s">
        <v>2099</v>
      </c>
      <c r="U551" s="222"/>
    </row>
    <row r="552" spans="1:21" s="204" customFormat="1" ht="27" customHeight="1">
      <c r="A552" s="274">
        <f>IF(B552&lt;&gt;"",SUBTOTAL(103,$D$7:$D552),"")</f>
        <v>265</v>
      </c>
      <c r="B552" s="220">
        <f>IF(C552&lt;&gt;"",SUBTOTAL(103,$C$544:$C552),"")</f>
        <v>7</v>
      </c>
      <c r="C552" s="221" t="s">
        <v>752</v>
      </c>
      <c r="D552" s="47" t="s">
        <v>753</v>
      </c>
      <c r="E552" s="42" t="s">
        <v>1062</v>
      </c>
      <c r="F552" s="42" t="s">
        <v>754</v>
      </c>
      <c r="G552" s="42" t="s">
        <v>346</v>
      </c>
      <c r="H552" s="42" t="s">
        <v>387</v>
      </c>
      <c r="I552" s="42" t="s">
        <v>1005</v>
      </c>
      <c r="J552" s="45">
        <v>41760</v>
      </c>
      <c r="K552" s="128">
        <v>20</v>
      </c>
      <c r="L552" s="362" t="s">
        <v>46</v>
      </c>
      <c r="M552" s="363"/>
      <c r="N552" s="128">
        <v>0</v>
      </c>
      <c r="O552" s="137">
        <v>1210000</v>
      </c>
      <c r="P552" s="129">
        <f t="shared" si="35"/>
        <v>51550000</v>
      </c>
      <c r="Q552" s="129">
        <f>O552*N552*1.5</f>
        <v>0</v>
      </c>
      <c r="R552" s="129">
        <f>8250000+7000000</f>
        <v>15250000</v>
      </c>
      <c r="S552" s="129">
        <f>O552*30</f>
        <v>36300000</v>
      </c>
      <c r="T552" s="264" t="s">
        <v>2100</v>
      </c>
      <c r="U552" s="222"/>
    </row>
    <row r="553" spans="1:21" s="273" customFormat="1" ht="27" customHeight="1">
      <c r="A553" s="274">
        <f>IF(B553&lt;&gt;"",SUBTOTAL(103,$D$7:$D553),"")</f>
      </c>
      <c r="B553" s="213"/>
      <c r="C553" s="214" t="s">
        <v>714</v>
      </c>
      <c r="D553" s="218"/>
      <c r="E553" s="7"/>
      <c r="F553" s="7"/>
      <c r="G553" s="7"/>
      <c r="H553" s="7"/>
      <c r="I553" s="7"/>
      <c r="J553" s="136"/>
      <c r="K553" s="20"/>
      <c r="L553" s="21"/>
      <c r="M553" s="21"/>
      <c r="N553" s="22"/>
      <c r="O553" s="11"/>
      <c r="P553" s="12">
        <f>SUBTOTAL(109,P554:P555)</f>
        <v>105304000</v>
      </c>
      <c r="Q553" s="12">
        <f>SUBTOTAL(109,Q554:Q555)</f>
        <v>0</v>
      </c>
      <c r="R553" s="12">
        <f>SUBTOTAL(109,R554:R555)</f>
        <v>34504000</v>
      </c>
      <c r="S553" s="12">
        <f>SUBTOTAL(109,S554:S555)</f>
        <v>70800000</v>
      </c>
      <c r="T553" s="140"/>
      <c r="U553" s="216"/>
    </row>
    <row r="554" spans="1:21" s="302" customFormat="1" ht="27" customHeight="1">
      <c r="A554" s="274">
        <f>IF(B554&lt;&gt;"",SUBTOTAL(103,$D$7:$D554),"")</f>
        <v>266</v>
      </c>
      <c r="B554" s="220">
        <f>IF(C554&lt;&gt;"",SUBTOTAL(103,$C$554:$C554),"")</f>
        <v>1</v>
      </c>
      <c r="C554" s="244" t="s">
        <v>869</v>
      </c>
      <c r="D554" s="275" t="s">
        <v>865</v>
      </c>
      <c r="E554" s="43" t="s">
        <v>866</v>
      </c>
      <c r="F554" s="42" t="s">
        <v>867</v>
      </c>
      <c r="G554" s="42" t="s">
        <v>346</v>
      </c>
      <c r="H554" s="42" t="s">
        <v>868</v>
      </c>
      <c r="I554" s="42" t="s">
        <v>1036</v>
      </c>
      <c r="J554" s="45">
        <v>41640</v>
      </c>
      <c r="K554" s="128">
        <v>20</v>
      </c>
      <c r="L554" s="362" t="s">
        <v>46</v>
      </c>
      <c r="M554" s="363"/>
      <c r="N554" s="128">
        <v>0</v>
      </c>
      <c r="O554" s="58">
        <v>1150000</v>
      </c>
      <c r="P554" s="129">
        <f>Q554+R554+S554</f>
        <v>38625000</v>
      </c>
      <c r="Q554" s="129">
        <f>O554*N554*1.5</f>
        <v>0</v>
      </c>
      <c r="R554" s="129">
        <f>4125000</f>
        <v>4125000</v>
      </c>
      <c r="S554" s="129">
        <f>30*O554</f>
        <v>34500000</v>
      </c>
      <c r="T554" s="257" t="s">
        <v>2101</v>
      </c>
      <c r="U554" s="249"/>
    </row>
    <row r="555" spans="1:21" s="302" customFormat="1" ht="27" customHeight="1">
      <c r="A555" s="274">
        <f>IF(B555&lt;&gt;"",SUBTOTAL(103,$D$7:$D555),"")</f>
        <v>267</v>
      </c>
      <c r="B555" s="220">
        <f>IF(C555&lt;&gt;"",SUBTOTAL(103,$C$554:$C555),"")</f>
        <v>2</v>
      </c>
      <c r="C555" s="244" t="s">
        <v>1060</v>
      </c>
      <c r="D555" s="275" t="s">
        <v>870</v>
      </c>
      <c r="E555" s="43" t="s">
        <v>866</v>
      </c>
      <c r="F555" s="42" t="s">
        <v>871</v>
      </c>
      <c r="G555" s="42" t="s">
        <v>346</v>
      </c>
      <c r="H555" s="42" t="s">
        <v>265</v>
      </c>
      <c r="I555" s="42" t="s">
        <v>872</v>
      </c>
      <c r="J555" s="45">
        <v>41640</v>
      </c>
      <c r="K555" s="128">
        <v>20</v>
      </c>
      <c r="L555" s="362" t="s">
        <v>46</v>
      </c>
      <c r="M555" s="363"/>
      <c r="N555" s="128">
        <v>0</v>
      </c>
      <c r="O555" s="137">
        <v>1210000</v>
      </c>
      <c r="P555" s="129">
        <f>Q555+R555+S555</f>
        <v>66679000</v>
      </c>
      <c r="Q555" s="129">
        <v>0</v>
      </c>
      <c r="R555" s="129">
        <f>3808000+8120000+7650000+10801000</f>
        <v>30379000</v>
      </c>
      <c r="S555" s="129">
        <f>30*O555</f>
        <v>36300000</v>
      </c>
      <c r="T555" s="257" t="s">
        <v>2102</v>
      </c>
      <c r="U555" s="189"/>
    </row>
    <row r="556" spans="1:21" s="273" customFormat="1" ht="27" customHeight="1">
      <c r="A556" s="274">
        <f>IF(B556&lt;&gt;"",SUBTOTAL(103,$D$7:$D556),"")</f>
      </c>
      <c r="B556" s="213"/>
      <c r="C556" s="214" t="s">
        <v>726</v>
      </c>
      <c r="D556" s="218"/>
      <c r="E556" s="7"/>
      <c r="F556" s="7"/>
      <c r="G556" s="7"/>
      <c r="H556" s="7"/>
      <c r="I556" s="7"/>
      <c r="J556" s="136"/>
      <c r="K556" s="20"/>
      <c r="L556" s="21"/>
      <c r="M556" s="21"/>
      <c r="N556" s="22"/>
      <c r="O556" s="11"/>
      <c r="P556" s="12">
        <f>P557</f>
        <v>93919000</v>
      </c>
      <c r="Q556" s="12">
        <f>Q557</f>
        <v>34500000</v>
      </c>
      <c r="R556" s="12">
        <f>R557</f>
        <v>24919000</v>
      </c>
      <c r="S556" s="12">
        <f>S557</f>
        <v>34500000</v>
      </c>
      <c r="T556" s="262"/>
      <c r="U556" s="216"/>
    </row>
    <row r="557" spans="1:21" s="219" customFormat="1" ht="27" customHeight="1">
      <c r="A557" s="274">
        <f>IF(B557&lt;&gt;"",SUBTOTAL(103,$D$7:$D557),"")</f>
        <v>268</v>
      </c>
      <c r="B557" s="220">
        <f>IF(C557&lt;&gt;"",SUBTOTAL(103,$C$557:$C557),"")</f>
        <v>1</v>
      </c>
      <c r="C557" s="244" t="s">
        <v>1974</v>
      </c>
      <c r="D557" s="275" t="s">
        <v>850</v>
      </c>
      <c r="E557" s="43" t="s">
        <v>1975</v>
      </c>
      <c r="F557" s="42" t="s">
        <v>1976</v>
      </c>
      <c r="G557" s="43" t="s">
        <v>346</v>
      </c>
      <c r="H557" s="43" t="s">
        <v>1977</v>
      </c>
      <c r="I557" s="43" t="s">
        <v>1288</v>
      </c>
      <c r="J557" s="45">
        <v>41640</v>
      </c>
      <c r="K557" s="56">
        <v>0</v>
      </c>
      <c r="L557" s="45">
        <v>41640</v>
      </c>
      <c r="M557" s="45">
        <v>42217</v>
      </c>
      <c r="N557" s="128">
        <f>DATEDIF(L557,M557,"m")+1</f>
        <v>20</v>
      </c>
      <c r="O557" s="58">
        <v>1150000</v>
      </c>
      <c r="P557" s="129">
        <f>Q557+R557+S557</f>
        <v>93919000</v>
      </c>
      <c r="Q557" s="129">
        <f>O557*N557*1.5</f>
        <v>34500000</v>
      </c>
      <c r="R557" s="129">
        <f>14950000+9969000</f>
        <v>24919000</v>
      </c>
      <c r="S557" s="129">
        <f>30*O557</f>
        <v>34500000</v>
      </c>
      <c r="T557" s="256" t="s">
        <v>2103</v>
      </c>
      <c r="U557" s="241">
        <v>42667</v>
      </c>
    </row>
    <row r="558" spans="1:21" s="273" customFormat="1" ht="27" customHeight="1">
      <c r="A558" s="274">
        <f>IF(B558&lt;&gt;"",SUBTOTAL(103,$D$7:$D558),"")</f>
      </c>
      <c r="B558" s="213"/>
      <c r="C558" s="214" t="s">
        <v>671</v>
      </c>
      <c r="D558" s="218"/>
      <c r="E558" s="7"/>
      <c r="F558" s="7"/>
      <c r="G558" s="7"/>
      <c r="H558" s="7"/>
      <c r="I558" s="7"/>
      <c r="J558" s="136"/>
      <c r="K558" s="20"/>
      <c r="L558" s="21"/>
      <c r="M558" s="21"/>
      <c r="N558" s="22"/>
      <c r="O558" s="11"/>
      <c r="P558" s="12">
        <f>SUBTOTAL(109,P559:P574)</f>
        <v>298100000</v>
      </c>
      <c r="Q558" s="12">
        <f>SUBTOTAL(109,Q559:Q574)</f>
        <v>108740000</v>
      </c>
      <c r="R558" s="12">
        <f>SUBTOTAL(109,R559:R574)</f>
        <v>84060000</v>
      </c>
      <c r="S558" s="12">
        <f>SUBTOTAL(109,S559:S574)</f>
        <v>105300000</v>
      </c>
      <c r="T558" s="12">
        <f>SUM(T559:T561)</f>
        <v>0</v>
      </c>
      <c r="U558" s="216"/>
    </row>
    <row r="559" spans="1:21" s="302" customFormat="1" ht="27" customHeight="1">
      <c r="A559" s="274">
        <f>IF(B559&lt;&gt;"",SUBTOTAL(103,$D$7:$D559),"")</f>
        <v>269</v>
      </c>
      <c r="B559" s="220">
        <f>IF(C559&lt;&gt;"",SUBTOTAL(103,$C$559:$C559),"")</f>
        <v>1</v>
      </c>
      <c r="C559" s="244" t="s">
        <v>889</v>
      </c>
      <c r="D559" s="275" t="s">
        <v>890</v>
      </c>
      <c r="E559" s="43" t="s">
        <v>1126</v>
      </c>
      <c r="F559" s="42" t="s">
        <v>891</v>
      </c>
      <c r="G559" s="43" t="s">
        <v>346</v>
      </c>
      <c r="H559" s="43" t="s">
        <v>892</v>
      </c>
      <c r="I559" s="43" t="s">
        <v>195</v>
      </c>
      <c r="J559" s="45">
        <v>41640</v>
      </c>
      <c r="K559" s="59">
        <v>20</v>
      </c>
      <c r="L559" s="362" t="s">
        <v>46</v>
      </c>
      <c r="M559" s="363"/>
      <c r="N559" s="128">
        <v>0</v>
      </c>
      <c r="O559" s="58">
        <v>1150000</v>
      </c>
      <c r="P559" s="129">
        <f>Q559+R559+S559</f>
        <v>34500000</v>
      </c>
      <c r="Q559" s="129">
        <f>O559*N559*1.5</f>
        <v>0</v>
      </c>
      <c r="R559" s="129">
        <v>0</v>
      </c>
      <c r="S559" s="129">
        <f>30*O559</f>
        <v>34500000</v>
      </c>
      <c r="T559" s="256" t="s">
        <v>2104</v>
      </c>
      <c r="U559" s="249"/>
    </row>
    <row r="560" spans="1:21" s="219" customFormat="1" ht="27" customHeight="1">
      <c r="A560" s="274">
        <f>IF(B560&lt;&gt;"",SUBTOTAL(103,$D$7:$D560),"")</f>
        <v>270</v>
      </c>
      <c r="B560" s="220">
        <f>IF(C560&lt;&gt;"",SUBTOTAL(103,$C$559:$C560),"")</f>
        <v>2</v>
      </c>
      <c r="C560" s="244" t="s">
        <v>893</v>
      </c>
      <c r="D560" s="275" t="s">
        <v>894</v>
      </c>
      <c r="E560" s="43" t="s">
        <v>1052</v>
      </c>
      <c r="F560" s="42" t="s">
        <v>895</v>
      </c>
      <c r="G560" s="43" t="s">
        <v>346</v>
      </c>
      <c r="H560" s="43" t="s">
        <v>318</v>
      </c>
      <c r="I560" s="43" t="s">
        <v>896</v>
      </c>
      <c r="J560" s="45">
        <v>41760</v>
      </c>
      <c r="K560" s="56">
        <v>20</v>
      </c>
      <c r="L560" s="362" t="s">
        <v>46</v>
      </c>
      <c r="M560" s="363"/>
      <c r="N560" s="128">
        <v>0</v>
      </c>
      <c r="O560" s="58">
        <v>1210000</v>
      </c>
      <c r="P560" s="129">
        <f>Q560+R560+S560</f>
        <v>51550000</v>
      </c>
      <c r="Q560" s="129">
        <f>O560*N560*1.5</f>
        <v>0</v>
      </c>
      <c r="R560" s="129">
        <f>8250000+7000000</f>
        <v>15250000</v>
      </c>
      <c r="S560" s="129">
        <f>30*O560</f>
        <v>36300000</v>
      </c>
      <c r="T560" s="256" t="s">
        <v>2105</v>
      </c>
      <c r="U560" s="242"/>
    </row>
    <row r="561" spans="1:21" s="219" customFormat="1" ht="27" customHeight="1">
      <c r="A561" s="274">
        <f>IF(B561&lt;&gt;"",SUBTOTAL(103,$D$7:$D561),"")</f>
        <v>271</v>
      </c>
      <c r="B561" s="220">
        <f>IF(C561&lt;&gt;"",SUBTOTAL(103,$C$559:$C561),"")</f>
        <v>3</v>
      </c>
      <c r="C561" s="244" t="s">
        <v>984</v>
      </c>
      <c r="D561" s="275" t="s">
        <v>985</v>
      </c>
      <c r="E561" s="43" t="s">
        <v>1050</v>
      </c>
      <c r="F561" s="42" t="s">
        <v>986</v>
      </c>
      <c r="G561" s="43" t="s">
        <v>346</v>
      </c>
      <c r="H561" s="43" t="s">
        <v>987</v>
      </c>
      <c r="I561" s="43" t="s">
        <v>1051</v>
      </c>
      <c r="J561" s="45">
        <v>41640</v>
      </c>
      <c r="K561" s="56">
        <v>20</v>
      </c>
      <c r="L561" s="362" t="s">
        <v>46</v>
      </c>
      <c r="M561" s="363"/>
      <c r="N561" s="128">
        <v>0</v>
      </c>
      <c r="O561" s="58">
        <v>1150000</v>
      </c>
      <c r="P561" s="129">
        <f>Q561+R561+S561</f>
        <v>42750000</v>
      </c>
      <c r="Q561" s="129">
        <f>O561*N561*1.5</f>
        <v>0</v>
      </c>
      <c r="R561" s="129">
        <v>8250000</v>
      </c>
      <c r="S561" s="129">
        <f>30*O561</f>
        <v>34500000</v>
      </c>
      <c r="T561" s="256" t="s">
        <v>2106</v>
      </c>
      <c r="U561" s="242"/>
    </row>
    <row r="562" spans="1:21" s="204" customFormat="1" ht="27" customHeight="1">
      <c r="A562" s="274">
        <f>IF(B562&lt;&gt;"",SUBTOTAL(103,$D$7:$D562),"")</f>
        <v>272</v>
      </c>
      <c r="B562" s="220">
        <f>IF(C562&lt;&gt;"",SUBTOTAL(103,$C$559:$C562),"")</f>
        <v>4</v>
      </c>
      <c r="C562" s="221" t="s">
        <v>1271</v>
      </c>
      <c r="D562" s="47" t="s">
        <v>593</v>
      </c>
      <c r="E562" s="42" t="s">
        <v>1272</v>
      </c>
      <c r="F562" s="42" t="s">
        <v>1273</v>
      </c>
      <c r="G562" s="42" t="s">
        <v>346</v>
      </c>
      <c r="H562" s="42" t="s">
        <v>387</v>
      </c>
      <c r="I562" s="42" t="s">
        <v>1274</v>
      </c>
      <c r="J562" s="45">
        <v>42186</v>
      </c>
      <c r="K562" s="127">
        <v>0</v>
      </c>
      <c r="L562" s="45">
        <v>42186</v>
      </c>
      <c r="M562" s="45">
        <v>42705</v>
      </c>
      <c r="N562" s="128">
        <f aca="true" t="shared" si="36" ref="N562:N573">DATEDIF(L562,M562,"m")+1</f>
        <v>18</v>
      </c>
      <c r="O562" s="58"/>
      <c r="P562" s="129">
        <f>Q562+R562+S562</f>
        <v>43020000</v>
      </c>
      <c r="Q562" s="129">
        <f>SUM(Q563:Q564)</f>
        <v>31770000</v>
      </c>
      <c r="R562" s="129">
        <f>4250000+7000000</f>
        <v>11250000</v>
      </c>
      <c r="S562" s="129">
        <v>0</v>
      </c>
      <c r="T562" s="258" t="s">
        <v>1275</v>
      </c>
      <c r="U562" s="222"/>
    </row>
    <row r="563" spans="1:21" s="204" customFormat="1" ht="27" customHeight="1" hidden="1" outlineLevel="1">
      <c r="A563" s="274">
        <f>IF(B563&lt;&gt;"",SUBTOTAL(103,$D$7:$D563),"")</f>
      </c>
      <c r="B563" s="220">
        <f>IF(C563&lt;&gt;"",SUBTOTAL(103,$C$559:$C563),"")</f>
      </c>
      <c r="C563" s="221"/>
      <c r="D563" s="47"/>
      <c r="E563" s="42"/>
      <c r="F563" s="42"/>
      <c r="G563" s="42"/>
      <c r="H563" s="42"/>
      <c r="I563" s="42"/>
      <c r="J563" s="45"/>
      <c r="K563" s="127"/>
      <c r="L563" s="45">
        <v>42186</v>
      </c>
      <c r="M563" s="45">
        <v>42461</v>
      </c>
      <c r="N563" s="128">
        <f t="shared" si="36"/>
        <v>10</v>
      </c>
      <c r="O563" s="58">
        <v>1150000</v>
      </c>
      <c r="P563" s="129"/>
      <c r="Q563" s="129">
        <f>O563*N563*1.5</f>
        <v>17250000</v>
      </c>
      <c r="R563" s="217"/>
      <c r="S563" s="129"/>
      <c r="T563" s="258"/>
      <c r="U563" s="222"/>
    </row>
    <row r="564" spans="1:21" s="204" customFormat="1" ht="27" customHeight="1" hidden="1" outlineLevel="1">
      <c r="A564" s="274">
        <f>IF(B564&lt;&gt;"",SUBTOTAL(103,$D$7:$D564),"")</f>
      </c>
      <c r="B564" s="220">
        <f>IF(C564&lt;&gt;"",SUBTOTAL(103,$C$559:$C564),"")</f>
      </c>
      <c r="C564" s="221"/>
      <c r="D564" s="47"/>
      <c r="E564" s="42"/>
      <c r="F564" s="42"/>
      <c r="G564" s="42"/>
      <c r="H564" s="42"/>
      <c r="I564" s="42"/>
      <c r="J564" s="45"/>
      <c r="K564" s="127"/>
      <c r="L564" s="45">
        <v>42491</v>
      </c>
      <c r="M564" s="45">
        <v>42705</v>
      </c>
      <c r="N564" s="128">
        <f t="shared" si="36"/>
        <v>8</v>
      </c>
      <c r="O564" s="58">
        <v>1210000</v>
      </c>
      <c r="P564" s="129"/>
      <c r="Q564" s="129">
        <f>O564*N564*1.5</f>
        <v>14520000</v>
      </c>
      <c r="R564" s="129"/>
      <c r="S564" s="129"/>
      <c r="T564" s="258"/>
      <c r="U564" s="222"/>
    </row>
    <row r="565" spans="1:21" s="204" customFormat="1" ht="27" customHeight="1" collapsed="1">
      <c r="A565" s="274">
        <f>IF(B565&lt;&gt;"",SUBTOTAL(103,$D$7:$D565),"")</f>
        <v>273</v>
      </c>
      <c r="B565" s="220">
        <f>IF(C565&lt;&gt;"",SUBTOTAL(103,$C$559:$C565),"")</f>
        <v>5</v>
      </c>
      <c r="C565" s="221" t="s">
        <v>1276</v>
      </c>
      <c r="D565" s="47" t="s">
        <v>1277</v>
      </c>
      <c r="E565" s="42" t="s">
        <v>1278</v>
      </c>
      <c r="F565" s="42" t="s">
        <v>1279</v>
      </c>
      <c r="G565" s="42" t="s">
        <v>346</v>
      </c>
      <c r="H565" s="42" t="s">
        <v>387</v>
      </c>
      <c r="I565" s="42" t="s">
        <v>1274</v>
      </c>
      <c r="J565" s="45">
        <v>42186</v>
      </c>
      <c r="K565" s="127" t="s">
        <v>1189</v>
      </c>
      <c r="L565" s="45">
        <v>42186</v>
      </c>
      <c r="M565" s="45">
        <v>42705</v>
      </c>
      <c r="N565" s="128">
        <f t="shared" si="36"/>
        <v>18</v>
      </c>
      <c r="O565" s="58"/>
      <c r="P565" s="129">
        <f>Q565+R565+S565</f>
        <v>43020000</v>
      </c>
      <c r="Q565" s="129">
        <f>SUM(Q566:Q567)</f>
        <v>31770000</v>
      </c>
      <c r="R565" s="129">
        <f>4250000+7000000</f>
        <v>11250000</v>
      </c>
      <c r="S565" s="129">
        <v>0</v>
      </c>
      <c r="T565" s="258" t="s">
        <v>1275</v>
      </c>
      <c r="U565" s="222"/>
    </row>
    <row r="566" spans="1:21" s="204" customFormat="1" ht="27" customHeight="1" hidden="1" outlineLevel="1">
      <c r="A566" s="274">
        <f>IF(B566&lt;&gt;"",SUBTOTAL(103,$D$7:$D566),"")</f>
      </c>
      <c r="B566" s="220">
        <f>IF(C566&lt;&gt;"",SUBTOTAL(103,$C$559:$C566),"")</f>
      </c>
      <c r="C566" s="221"/>
      <c r="D566" s="47"/>
      <c r="E566" s="42"/>
      <c r="F566" s="42"/>
      <c r="G566" s="42"/>
      <c r="H566" s="42"/>
      <c r="I566" s="42"/>
      <c r="J566" s="45"/>
      <c r="K566" s="127"/>
      <c r="L566" s="45">
        <v>42186</v>
      </c>
      <c r="M566" s="45">
        <v>42461</v>
      </c>
      <c r="N566" s="128">
        <f t="shared" si="36"/>
        <v>10</v>
      </c>
      <c r="O566" s="58">
        <v>1150000</v>
      </c>
      <c r="P566" s="129"/>
      <c r="Q566" s="129">
        <f>O566*N566*1.5</f>
        <v>17250000</v>
      </c>
      <c r="R566" s="217"/>
      <c r="S566" s="129"/>
      <c r="T566" s="258"/>
      <c r="U566" s="222"/>
    </row>
    <row r="567" spans="1:21" s="204" customFormat="1" ht="27" customHeight="1" hidden="1" outlineLevel="1">
      <c r="A567" s="274">
        <f>IF(B567&lt;&gt;"",SUBTOTAL(103,$D$7:$D567),"")</f>
      </c>
      <c r="B567" s="220">
        <f>IF(C567&lt;&gt;"",SUBTOTAL(103,$C$559:$C567),"")</f>
      </c>
      <c r="C567" s="221"/>
      <c r="D567" s="47"/>
      <c r="E567" s="42"/>
      <c r="F567" s="42"/>
      <c r="G567" s="42"/>
      <c r="H567" s="42"/>
      <c r="I567" s="42"/>
      <c r="J567" s="45"/>
      <c r="K567" s="127"/>
      <c r="L567" s="45">
        <v>42491</v>
      </c>
      <c r="M567" s="45">
        <v>42705</v>
      </c>
      <c r="N567" s="128">
        <f t="shared" si="36"/>
        <v>8</v>
      </c>
      <c r="O567" s="58">
        <v>1210000</v>
      </c>
      <c r="P567" s="129"/>
      <c r="Q567" s="129">
        <f>O567*N567*1.5</f>
        <v>14520000</v>
      </c>
      <c r="R567" s="129"/>
      <c r="S567" s="129"/>
      <c r="T567" s="258"/>
      <c r="U567" s="222"/>
    </row>
    <row r="568" spans="1:21" s="204" customFormat="1" ht="27" customHeight="1" collapsed="1">
      <c r="A568" s="274">
        <f>IF(B568&lt;&gt;"",SUBTOTAL(103,$D$7:$D568),"")</f>
        <v>274</v>
      </c>
      <c r="B568" s="220">
        <f>IF(C568&lt;&gt;"",SUBTOTAL(103,$C$559:$C568),"")</f>
        <v>6</v>
      </c>
      <c r="C568" s="221" t="s">
        <v>1261</v>
      </c>
      <c r="D568" s="47" t="s">
        <v>1262</v>
      </c>
      <c r="E568" s="42" t="s">
        <v>1263</v>
      </c>
      <c r="F568" s="42" t="s">
        <v>1264</v>
      </c>
      <c r="G568" s="42" t="s">
        <v>346</v>
      </c>
      <c r="H568" s="42" t="s">
        <v>377</v>
      </c>
      <c r="I568" s="42" t="s">
        <v>1265</v>
      </c>
      <c r="J568" s="45">
        <v>42401</v>
      </c>
      <c r="K568" s="127">
        <v>0</v>
      </c>
      <c r="L568" s="45">
        <v>42401</v>
      </c>
      <c r="M568" s="45">
        <v>42705</v>
      </c>
      <c r="N568" s="128">
        <f t="shared" si="36"/>
        <v>11</v>
      </c>
      <c r="O568" s="58"/>
      <c r="P568" s="129">
        <f>Q568+R568+S568</f>
        <v>41345000</v>
      </c>
      <c r="Q568" s="129">
        <f>SUM(Q569:Q570)</f>
        <v>19695000</v>
      </c>
      <c r="R568" s="129">
        <f>2500000+15000000+4150000</f>
        <v>21650000</v>
      </c>
      <c r="S568" s="129">
        <v>0</v>
      </c>
      <c r="T568" s="258" t="s">
        <v>1266</v>
      </c>
      <c r="U568" s="222"/>
    </row>
    <row r="569" spans="1:21" s="204" customFormat="1" ht="27" customHeight="1" hidden="1" outlineLevel="1">
      <c r="A569" s="274">
        <f>IF(B569&lt;&gt;"",SUBTOTAL(103,$D$7:$D569),"")</f>
      </c>
      <c r="B569" s="220">
        <f>IF(C569&lt;&gt;"",SUBTOTAL(103,$C$559:$C569),"")</f>
      </c>
      <c r="C569" s="221"/>
      <c r="D569" s="47"/>
      <c r="E569" s="42"/>
      <c r="F569" s="42"/>
      <c r="G569" s="42"/>
      <c r="H569" s="42"/>
      <c r="I569" s="42"/>
      <c r="J569" s="45"/>
      <c r="K569" s="127"/>
      <c r="L569" s="45">
        <v>42401</v>
      </c>
      <c r="M569" s="45">
        <v>42461</v>
      </c>
      <c r="N569" s="128">
        <f t="shared" si="36"/>
        <v>3</v>
      </c>
      <c r="O569" s="58">
        <v>1150000</v>
      </c>
      <c r="P569" s="129"/>
      <c r="Q569" s="129">
        <f>O569*N569*1.5</f>
        <v>5175000</v>
      </c>
      <c r="R569" s="129"/>
      <c r="S569" s="129"/>
      <c r="T569" s="258"/>
      <c r="U569" s="222"/>
    </row>
    <row r="570" spans="1:21" s="204" customFormat="1" ht="27" customHeight="1" hidden="1" outlineLevel="1">
      <c r="A570" s="274">
        <f>IF(B570&lt;&gt;"",SUBTOTAL(103,$D$7:$D570),"")</f>
      </c>
      <c r="B570" s="220">
        <f>IF(C570&lt;&gt;"",SUBTOTAL(103,$C$559:$C570),"")</f>
      </c>
      <c r="C570" s="221"/>
      <c r="D570" s="47"/>
      <c r="E570" s="42"/>
      <c r="F570" s="42"/>
      <c r="G570" s="42"/>
      <c r="H570" s="42"/>
      <c r="I570" s="42"/>
      <c r="J570" s="45"/>
      <c r="K570" s="127"/>
      <c r="L570" s="45">
        <v>42491</v>
      </c>
      <c r="M570" s="45">
        <v>42705</v>
      </c>
      <c r="N570" s="128">
        <f t="shared" si="36"/>
        <v>8</v>
      </c>
      <c r="O570" s="58">
        <v>1210000</v>
      </c>
      <c r="P570" s="129"/>
      <c r="Q570" s="129">
        <f>O570*N570*1.5</f>
        <v>14520000</v>
      </c>
      <c r="R570" s="129"/>
      <c r="S570" s="129"/>
      <c r="T570" s="258"/>
      <c r="U570" s="222"/>
    </row>
    <row r="571" spans="1:21" s="204" customFormat="1" ht="27" customHeight="1" collapsed="1">
      <c r="A571" s="274">
        <f>IF(B571&lt;&gt;"",SUBTOTAL(103,$D$7:$D571),"")</f>
        <v>275</v>
      </c>
      <c r="B571" s="274">
        <f>IF(C571&lt;&gt;"",SUBTOTAL(103,$C$559:$C571),"")</f>
        <v>7</v>
      </c>
      <c r="C571" s="245" t="s">
        <v>1267</v>
      </c>
      <c r="D571" s="275" t="s">
        <v>1268</v>
      </c>
      <c r="E571" s="43" t="s">
        <v>1269</v>
      </c>
      <c r="F571" s="43" t="s">
        <v>1270</v>
      </c>
      <c r="G571" s="43" t="s">
        <v>346</v>
      </c>
      <c r="H571" s="43" t="s">
        <v>83</v>
      </c>
      <c r="I571" s="43" t="s">
        <v>1973</v>
      </c>
      <c r="J571" s="45">
        <v>42401</v>
      </c>
      <c r="K571" s="56">
        <v>0</v>
      </c>
      <c r="L571" s="45">
        <v>42401</v>
      </c>
      <c r="M571" s="45">
        <v>42705</v>
      </c>
      <c r="N571" s="128">
        <f t="shared" si="36"/>
        <v>11</v>
      </c>
      <c r="O571" s="58"/>
      <c r="P571" s="129">
        <f>Q571+R571+S571</f>
        <v>36105000</v>
      </c>
      <c r="Q571" s="129">
        <f>SUM(Q572:Q573)</f>
        <v>19695000</v>
      </c>
      <c r="R571" s="129">
        <f>7200000+360000+8250000+600000</f>
        <v>16410000</v>
      </c>
      <c r="S571" s="129">
        <v>0</v>
      </c>
      <c r="T571" s="256" t="s">
        <v>1972</v>
      </c>
      <c r="U571" s="241">
        <v>42667</v>
      </c>
    </row>
    <row r="572" spans="1:21" s="204" customFormat="1" ht="27" customHeight="1" hidden="1" outlineLevel="1">
      <c r="A572" s="274">
        <f>IF(B572&lt;&gt;"",SUBTOTAL(103,$D$7:$D572),"")</f>
      </c>
      <c r="B572" s="303">
        <f>IF(C572&lt;&gt;"",SUBTOTAL(103,$C$559:$C572),"")</f>
      </c>
      <c r="C572" s="221"/>
      <c r="D572" s="47"/>
      <c r="E572" s="42"/>
      <c r="F572" s="42"/>
      <c r="G572" s="42"/>
      <c r="H572" s="42"/>
      <c r="I572" s="42"/>
      <c r="J572" s="45"/>
      <c r="K572" s="127"/>
      <c r="L572" s="45">
        <v>42401</v>
      </c>
      <c r="M572" s="45">
        <v>42461</v>
      </c>
      <c r="N572" s="128">
        <f t="shared" si="36"/>
        <v>3</v>
      </c>
      <c r="O572" s="58">
        <v>1150000</v>
      </c>
      <c r="P572" s="129"/>
      <c r="Q572" s="129">
        <f>O572*N572*1.5</f>
        <v>5175000</v>
      </c>
      <c r="R572" s="129"/>
      <c r="S572" s="129"/>
      <c r="T572" s="258"/>
      <c r="U572" s="222"/>
    </row>
    <row r="573" spans="1:21" s="204" customFormat="1" ht="27" customHeight="1" hidden="1" outlineLevel="1">
      <c r="A573" s="274">
        <f>IF(B573&lt;&gt;"",SUBTOTAL(103,$D$7:$D573),"")</f>
      </c>
      <c r="B573" s="303">
        <f>IF(C573&lt;&gt;"",SUBTOTAL(103,$C$559:$C573),"")</f>
      </c>
      <c r="C573" s="221"/>
      <c r="D573" s="47"/>
      <c r="E573" s="42"/>
      <c r="F573" s="42"/>
      <c r="G573" s="42"/>
      <c r="H573" s="42"/>
      <c r="I573" s="42"/>
      <c r="J573" s="45"/>
      <c r="K573" s="127"/>
      <c r="L573" s="45">
        <v>42491</v>
      </c>
      <c r="M573" s="45">
        <v>42705</v>
      </c>
      <c r="N573" s="128">
        <f t="shared" si="36"/>
        <v>8</v>
      </c>
      <c r="O573" s="58">
        <v>1210000</v>
      </c>
      <c r="P573" s="129"/>
      <c r="Q573" s="129">
        <f>O573*N573*1.5</f>
        <v>14520000</v>
      </c>
      <c r="R573" s="129"/>
      <c r="S573" s="129"/>
      <c r="T573" s="258"/>
      <c r="U573" s="222"/>
    </row>
    <row r="574" spans="1:21" s="304" customFormat="1" ht="27" customHeight="1" collapsed="1">
      <c r="A574" s="274">
        <f>IF(B574&lt;&gt;"",SUBTOTAL(103,$D$7:$D574),"")</f>
        <v>276</v>
      </c>
      <c r="B574" s="274">
        <f>IF(C574&lt;&gt;"",SUBTOTAL(103,$C$559:$C574),"")</f>
        <v>8</v>
      </c>
      <c r="C574" s="244" t="s">
        <v>897</v>
      </c>
      <c r="D574" s="275" t="s">
        <v>898</v>
      </c>
      <c r="E574" s="43" t="s">
        <v>899</v>
      </c>
      <c r="F574" s="42" t="s">
        <v>900</v>
      </c>
      <c r="G574" s="43" t="s">
        <v>346</v>
      </c>
      <c r="H574" s="43" t="s">
        <v>2171</v>
      </c>
      <c r="I574" s="43" t="s">
        <v>901</v>
      </c>
      <c r="J574" s="45">
        <v>41913</v>
      </c>
      <c r="K574" s="59">
        <v>15</v>
      </c>
      <c r="L574" s="45">
        <v>42370</v>
      </c>
      <c r="M574" s="45">
        <v>42491</v>
      </c>
      <c r="N574" s="128">
        <f>DATEDIF(L574,M574,"m")+1</f>
        <v>5</v>
      </c>
      <c r="O574" s="137"/>
      <c r="P574" s="129">
        <f>Q574+R574+S574</f>
        <v>5810000</v>
      </c>
      <c r="Q574" s="129">
        <f>SUM(Q575:Q576)</f>
        <v>5810000</v>
      </c>
      <c r="R574" s="129">
        <v>0</v>
      </c>
      <c r="S574" s="189">
        <v>0</v>
      </c>
      <c r="T574" s="266" t="s">
        <v>1964</v>
      </c>
      <c r="U574" s="249"/>
    </row>
    <row r="575" spans="1:21" s="304" customFormat="1" ht="27" customHeight="1" hidden="1" outlineLevel="1">
      <c r="A575" s="274">
        <f>IF(B575&lt;&gt;"",SUBTOTAL(103,$D$7:$D575),"")</f>
      </c>
      <c r="B575" s="274"/>
      <c r="C575" s="244"/>
      <c r="D575" s="275"/>
      <c r="E575" s="43"/>
      <c r="F575" s="42"/>
      <c r="G575" s="43"/>
      <c r="H575" s="43"/>
      <c r="I575" s="43"/>
      <c r="J575" s="45"/>
      <c r="K575" s="59"/>
      <c r="L575" s="45">
        <v>42370</v>
      </c>
      <c r="M575" s="45">
        <v>42461</v>
      </c>
      <c r="N575" s="128">
        <f>DATEDIF(L575,M575,"m")+1</f>
        <v>4</v>
      </c>
      <c r="O575" s="137">
        <v>1150000</v>
      </c>
      <c r="P575" s="129"/>
      <c r="Q575" s="129">
        <f>O575*N575</f>
        <v>4600000</v>
      </c>
      <c r="R575" s="129"/>
      <c r="S575" s="189"/>
      <c r="T575" s="266"/>
      <c r="U575" s="249"/>
    </row>
    <row r="576" spans="1:21" s="304" customFormat="1" ht="27" customHeight="1" hidden="1" outlineLevel="1">
      <c r="A576" s="274">
        <f>IF(B576&lt;&gt;"",SUBTOTAL(103,$D$7:$D576),"")</f>
      </c>
      <c r="B576" s="274"/>
      <c r="C576" s="244"/>
      <c r="D576" s="275"/>
      <c r="E576" s="43"/>
      <c r="F576" s="42"/>
      <c r="G576" s="43"/>
      <c r="H576" s="43"/>
      <c r="I576" s="43"/>
      <c r="J576" s="45"/>
      <c r="K576" s="59"/>
      <c r="L576" s="45">
        <v>42491</v>
      </c>
      <c r="M576" s="45">
        <v>42491</v>
      </c>
      <c r="N576" s="128">
        <f>DATEDIF(L576,M576,"m")+1</f>
        <v>1</v>
      </c>
      <c r="O576" s="137">
        <v>1210000</v>
      </c>
      <c r="P576" s="129"/>
      <c r="Q576" s="129">
        <f>O576*N576</f>
        <v>1210000</v>
      </c>
      <c r="R576" s="129"/>
      <c r="S576" s="189"/>
      <c r="T576" s="266"/>
      <c r="U576" s="249"/>
    </row>
    <row r="577" spans="1:21" s="273" customFormat="1" ht="27" customHeight="1" collapsed="1">
      <c r="A577" s="274">
        <f>IF(B577&lt;&gt;"",SUBTOTAL(103,$D$7:$D577),"")</f>
      </c>
      <c r="B577" s="223"/>
      <c r="C577" s="214" t="s">
        <v>678</v>
      </c>
      <c r="D577" s="218"/>
      <c r="E577" s="7"/>
      <c r="F577" s="7"/>
      <c r="G577" s="7"/>
      <c r="H577" s="7"/>
      <c r="I577" s="7"/>
      <c r="J577" s="136"/>
      <c r="K577" s="20"/>
      <c r="L577" s="21"/>
      <c r="M577" s="21"/>
      <c r="N577" s="22"/>
      <c r="O577" s="11"/>
      <c r="P577" s="12">
        <f>SUBTOTAL(109,P578:P582)</f>
        <v>144915000</v>
      </c>
      <c r="Q577" s="12">
        <f>SUBTOTAL(109,Q578:Q582)</f>
        <v>42840000</v>
      </c>
      <c r="R577" s="12">
        <f>SUBTOTAL(109,R578:R582)</f>
        <v>33075000</v>
      </c>
      <c r="S577" s="12">
        <f>SUBTOTAL(109,S578:S582)</f>
        <v>69000000</v>
      </c>
      <c r="T577" s="262"/>
      <c r="U577" s="216"/>
    </row>
    <row r="578" spans="1:21" s="204" customFormat="1" ht="27" customHeight="1">
      <c r="A578" s="274">
        <f>IF(B578&lt;&gt;"",SUBTOTAL(103,$D$7:$D578),"")</f>
        <v>277</v>
      </c>
      <c r="B578" s="220">
        <f>IF(C578&lt;&gt;"",SUBTOTAL(103,$C$578:$C578),"")</f>
        <v>1</v>
      </c>
      <c r="C578" s="245" t="s">
        <v>542</v>
      </c>
      <c r="D578" s="47" t="s">
        <v>543</v>
      </c>
      <c r="E578" s="42" t="s">
        <v>544</v>
      </c>
      <c r="F578" s="42" t="s">
        <v>545</v>
      </c>
      <c r="G578" s="42" t="s">
        <v>346</v>
      </c>
      <c r="H578" s="43" t="s">
        <v>2171</v>
      </c>
      <c r="I578" s="42" t="s">
        <v>1130</v>
      </c>
      <c r="J578" s="45">
        <v>41609</v>
      </c>
      <c r="K578" s="56">
        <v>20</v>
      </c>
      <c r="L578" s="362" t="s">
        <v>46</v>
      </c>
      <c r="M578" s="363"/>
      <c r="N578" s="128">
        <v>0</v>
      </c>
      <c r="O578" s="129">
        <v>1150000</v>
      </c>
      <c r="P578" s="129">
        <f>Q578+R578+S578</f>
        <v>34500000</v>
      </c>
      <c r="Q578" s="129">
        <f>N578*O578*1.5</f>
        <v>0</v>
      </c>
      <c r="R578" s="129">
        <v>0</v>
      </c>
      <c r="S578" s="129">
        <f>30*O578</f>
        <v>34500000</v>
      </c>
      <c r="T578" s="267" t="s">
        <v>1413</v>
      </c>
      <c r="U578" s="222"/>
    </row>
    <row r="579" spans="1:21" s="204" customFormat="1" ht="27" customHeight="1">
      <c r="A579" s="274">
        <f>IF(B579&lt;&gt;"",SUBTOTAL(103,$D$7:$D579),"")</f>
        <v>278</v>
      </c>
      <c r="B579" s="220">
        <f>IF(C579&lt;&gt;"",SUBTOTAL(103,$C$578:$C579),"")</f>
        <v>2</v>
      </c>
      <c r="C579" s="245" t="s">
        <v>1323</v>
      </c>
      <c r="D579" s="47" t="s">
        <v>1324</v>
      </c>
      <c r="E579" s="42" t="s">
        <v>1053</v>
      </c>
      <c r="F579" s="42" t="s">
        <v>1325</v>
      </c>
      <c r="G579" s="42" t="s">
        <v>346</v>
      </c>
      <c r="H579" s="42" t="s">
        <v>1082</v>
      </c>
      <c r="I579" s="42" t="s">
        <v>251</v>
      </c>
      <c r="J579" s="45">
        <v>42005</v>
      </c>
      <c r="K579" s="56">
        <v>0</v>
      </c>
      <c r="L579" s="45">
        <v>42370</v>
      </c>
      <c r="M579" s="45">
        <v>42705</v>
      </c>
      <c r="N579" s="128">
        <f>DATEDIF(L579,M579,"m")+1</f>
        <v>12</v>
      </c>
      <c r="O579" s="137">
        <v>1150000</v>
      </c>
      <c r="P579" s="129">
        <f>SUM(Q579:S579)</f>
        <v>71495000</v>
      </c>
      <c r="Q579" s="129">
        <f>SUM(Q580,Q581)</f>
        <v>21420000</v>
      </c>
      <c r="R579" s="129">
        <f>7325000+8250000</f>
        <v>15575000</v>
      </c>
      <c r="S579" s="129">
        <f>30*O579</f>
        <v>34500000</v>
      </c>
      <c r="T579" s="264" t="s">
        <v>2107</v>
      </c>
      <c r="U579" s="240">
        <v>42623</v>
      </c>
    </row>
    <row r="580" spans="1:21" s="204" customFormat="1" ht="27" customHeight="1" hidden="1" outlineLevel="1">
      <c r="A580" s="274">
        <f>IF(B580&lt;&gt;"",SUBTOTAL(103,$D$7:$D580),"")</f>
      </c>
      <c r="B580" s="220">
        <f>IF(C580&lt;&gt;"",SUBTOTAL(103,$C$578:$C580),"")</f>
      </c>
      <c r="C580" s="245"/>
      <c r="D580" s="47"/>
      <c r="E580" s="42"/>
      <c r="F580" s="42"/>
      <c r="G580" s="42"/>
      <c r="H580" s="42"/>
      <c r="I580" s="42"/>
      <c r="J580" s="45"/>
      <c r="K580" s="56"/>
      <c r="L580" s="45">
        <v>42370</v>
      </c>
      <c r="M580" s="45">
        <v>42461</v>
      </c>
      <c r="N580" s="128">
        <f>DATEDIF(L580,M580,"m")+1</f>
        <v>4</v>
      </c>
      <c r="O580" s="137">
        <v>1150000</v>
      </c>
      <c r="P580" s="129"/>
      <c r="Q580" s="129">
        <f>O580*N580*1.5</f>
        <v>6900000</v>
      </c>
      <c r="R580" s="129"/>
      <c r="S580" s="129"/>
      <c r="T580" s="264"/>
      <c r="U580" s="222"/>
    </row>
    <row r="581" spans="1:21" s="204" customFormat="1" ht="27" customHeight="1" hidden="1" outlineLevel="1">
      <c r="A581" s="274">
        <f>IF(B581&lt;&gt;"",SUBTOTAL(103,$D$7:$D581),"")</f>
      </c>
      <c r="B581" s="220">
        <f>IF(C581&lt;&gt;"",SUBTOTAL(103,$C$578:$C581),"")</f>
      </c>
      <c r="C581" s="245"/>
      <c r="D581" s="47"/>
      <c r="E581" s="42"/>
      <c r="F581" s="42"/>
      <c r="G581" s="42"/>
      <c r="H581" s="42"/>
      <c r="I581" s="42"/>
      <c r="J581" s="45"/>
      <c r="K581" s="56"/>
      <c r="L581" s="45">
        <v>42491</v>
      </c>
      <c r="M581" s="45">
        <v>42705</v>
      </c>
      <c r="N581" s="128">
        <f>DATEDIF(L581,M581,"m")+1</f>
        <v>8</v>
      </c>
      <c r="O581" s="129">
        <v>1210000</v>
      </c>
      <c r="P581" s="129"/>
      <c r="Q581" s="129">
        <f>O581*N581*1.5</f>
        <v>14520000</v>
      </c>
      <c r="R581" s="129"/>
      <c r="S581" s="129"/>
      <c r="T581" s="264"/>
      <c r="U581" s="222"/>
    </row>
    <row r="582" spans="1:21" s="204" customFormat="1" ht="27" customHeight="1" collapsed="1">
      <c r="A582" s="274">
        <f>IF(B582&lt;&gt;"",SUBTOTAL(103,$D$7:$D582),"")</f>
        <v>279</v>
      </c>
      <c r="B582" s="220">
        <f>IF(C582&lt;&gt;"",SUBTOTAL(103,$C$578:$C582),"")</f>
        <v>3</v>
      </c>
      <c r="C582" s="245" t="s">
        <v>1326</v>
      </c>
      <c r="D582" s="47" t="s">
        <v>1327</v>
      </c>
      <c r="E582" s="42" t="s">
        <v>1328</v>
      </c>
      <c r="F582" s="42" t="s">
        <v>1329</v>
      </c>
      <c r="G582" s="42" t="s">
        <v>346</v>
      </c>
      <c r="H582" s="42" t="s">
        <v>1082</v>
      </c>
      <c r="I582" s="42" t="s">
        <v>2174</v>
      </c>
      <c r="J582" s="45">
        <v>42005</v>
      </c>
      <c r="K582" s="56">
        <v>0</v>
      </c>
      <c r="L582" s="45">
        <v>42370</v>
      </c>
      <c r="M582" s="45">
        <v>42705</v>
      </c>
      <c r="N582" s="128"/>
      <c r="O582" s="129"/>
      <c r="P582" s="129">
        <f>SUM(Q582:S582)</f>
        <v>38920000</v>
      </c>
      <c r="Q582" s="129">
        <f>SUM(Q583,Q584)</f>
        <v>21420000</v>
      </c>
      <c r="R582" s="129">
        <f>8750000+8750000</f>
        <v>17500000</v>
      </c>
      <c r="S582" s="129">
        <v>0</v>
      </c>
      <c r="T582" s="264" t="s">
        <v>1330</v>
      </c>
      <c r="U582" s="240">
        <v>42623</v>
      </c>
    </row>
    <row r="583" spans="1:21" s="204" customFormat="1" ht="27" customHeight="1" hidden="1" outlineLevel="1">
      <c r="A583" s="274">
        <f>IF(B583&lt;&gt;"",SUBTOTAL(103,$D$7:$D583),"")</f>
      </c>
      <c r="B583" s="274"/>
      <c r="C583" s="245"/>
      <c r="D583" s="47"/>
      <c r="E583" s="42"/>
      <c r="F583" s="42"/>
      <c r="G583" s="42"/>
      <c r="H583" s="42"/>
      <c r="I583" s="42"/>
      <c r="J583" s="45"/>
      <c r="K583" s="56"/>
      <c r="L583" s="45">
        <v>42370</v>
      </c>
      <c r="M583" s="45">
        <v>42461</v>
      </c>
      <c r="N583" s="128">
        <f>DATEDIF(L583,M583,"m")+1</f>
        <v>4</v>
      </c>
      <c r="O583" s="137">
        <v>1150000</v>
      </c>
      <c r="P583" s="129"/>
      <c r="Q583" s="129">
        <f>O583*N583*1.5</f>
        <v>6900000</v>
      </c>
      <c r="R583" s="129"/>
      <c r="S583" s="129"/>
      <c r="T583" s="264"/>
      <c r="U583" s="222"/>
    </row>
    <row r="584" spans="1:21" s="204" customFormat="1" ht="27" customHeight="1" hidden="1" outlineLevel="1">
      <c r="A584" s="274">
        <f>IF(B584&lt;&gt;"",SUBTOTAL(103,$D$7:$D584),"")</f>
      </c>
      <c r="B584" s="274"/>
      <c r="C584" s="245"/>
      <c r="D584" s="47"/>
      <c r="E584" s="42"/>
      <c r="F584" s="42"/>
      <c r="G584" s="42"/>
      <c r="H584" s="42"/>
      <c r="I584" s="42"/>
      <c r="J584" s="45"/>
      <c r="K584" s="56"/>
      <c r="L584" s="45">
        <v>42491</v>
      </c>
      <c r="M584" s="45">
        <v>42705</v>
      </c>
      <c r="N584" s="128">
        <f>DATEDIF(L584,M584,"m")+1</f>
        <v>8</v>
      </c>
      <c r="O584" s="129">
        <v>1210000</v>
      </c>
      <c r="P584" s="129"/>
      <c r="Q584" s="129">
        <f>O584*N584*1.5</f>
        <v>14520000</v>
      </c>
      <c r="R584" s="129"/>
      <c r="S584" s="129"/>
      <c r="T584" s="264"/>
      <c r="U584" s="222"/>
    </row>
    <row r="585" spans="1:21" s="273" customFormat="1" ht="27" customHeight="1" collapsed="1">
      <c r="A585" s="274">
        <f>IF(B585&lt;&gt;"",SUBTOTAL(103,$D$7:$D585),"")</f>
      </c>
      <c r="B585" s="213"/>
      <c r="C585" s="214" t="s">
        <v>385</v>
      </c>
      <c r="D585" s="218"/>
      <c r="E585" s="7"/>
      <c r="F585" s="7"/>
      <c r="G585" s="7"/>
      <c r="H585" s="7"/>
      <c r="I585" s="7"/>
      <c r="J585" s="136"/>
      <c r="K585" s="20"/>
      <c r="L585" s="21"/>
      <c r="M585" s="21"/>
      <c r="N585" s="22"/>
      <c r="O585" s="11"/>
      <c r="P585" s="12">
        <f>SUM(P586:P586)</f>
        <v>34500000</v>
      </c>
      <c r="Q585" s="12">
        <f>SUM(Q586:Q586)</f>
        <v>0</v>
      </c>
      <c r="R585" s="12">
        <f>SUM(R586:R586)</f>
        <v>0</v>
      </c>
      <c r="S585" s="12">
        <f>SUM(S586:S586)</f>
        <v>34500000</v>
      </c>
      <c r="T585" s="262"/>
      <c r="U585" s="216"/>
    </row>
    <row r="586" spans="1:21" s="204" customFormat="1" ht="27" customHeight="1">
      <c r="A586" s="274">
        <f>IF(B586&lt;&gt;"",SUBTOTAL(103,$D$7:$D586),"")</f>
        <v>280</v>
      </c>
      <c r="B586" s="220">
        <f>IF(C586&lt;&gt;"",SUBTOTAL(103,$C$586:$C586),"")</f>
        <v>1</v>
      </c>
      <c r="C586" s="221" t="s">
        <v>1118</v>
      </c>
      <c r="D586" s="47" t="s">
        <v>1119</v>
      </c>
      <c r="E586" s="42" t="s">
        <v>1120</v>
      </c>
      <c r="F586" s="42" t="s">
        <v>1121</v>
      </c>
      <c r="G586" s="42" t="s">
        <v>346</v>
      </c>
      <c r="H586" s="42" t="s">
        <v>366</v>
      </c>
      <c r="I586" s="42" t="s">
        <v>44</v>
      </c>
      <c r="J586" s="45">
        <v>41640</v>
      </c>
      <c r="K586" s="128">
        <v>20</v>
      </c>
      <c r="L586" s="362" t="s">
        <v>46</v>
      </c>
      <c r="M586" s="363"/>
      <c r="N586" s="101">
        <v>0</v>
      </c>
      <c r="O586" s="137">
        <v>1150000</v>
      </c>
      <c r="P586" s="137">
        <f>Q586+R586+S586</f>
        <v>34500000</v>
      </c>
      <c r="Q586" s="129">
        <f>O586*N586*1.5</f>
        <v>0</v>
      </c>
      <c r="R586" s="137">
        <v>0</v>
      </c>
      <c r="S586" s="137">
        <f>30*O586</f>
        <v>34500000</v>
      </c>
      <c r="T586" s="268" t="s">
        <v>2108</v>
      </c>
      <c r="U586" s="222"/>
    </row>
    <row r="587" spans="1:21" s="273" customFormat="1" ht="27" customHeight="1">
      <c r="A587" s="274">
        <f>IF(B587&lt;&gt;"",SUBTOTAL(103,$D$7:$D587),"")</f>
      </c>
      <c r="B587" s="213"/>
      <c r="C587" s="214" t="s">
        <v>697</v>
      </c>
      <c r="D587" s="218"/>
      <c r="E587" s="7"/>
      <c r="F587" s="7"/>
      <c r="G587" s="7"/>
      <c r="H587" s="7"/>
      <c r="I587" s="7"/>
      <c r="J587" s="136"/>
      <c r="K587" s="20"/>
      <c r="L587" s="21"/>
      <c r="M587" s="21"/>
      <c r="N587" s="22"/>
      <c r="O587" s="11"/>
      <c r="P587" s="12">
        <f>SUBTOTAL(109,P588:P589)</f>
        <v>96500000</v>
      </c>
      <c r="Q587" s="12">
        <f>SUBTOTAL(109,Q588:Q589)</f>
        <v>0</v>
      </c>
      <c r="R587" s="12">
        <f>SUBTOTAL(109,R588:R589)</f>
        <v>27500000</v>
      </c>
      <c r="S587" s="12">
        <f>SUBTOTAL(109,S588:S589)</f>
        <v>69000000</v>
      </c>
      <c r="T587" s="262"/>
      <c r="U587" s="216"/>
    </row>
    <row r="588" spans="1:21" s="204" customFormat="1" ht="27" customHeight="1">
      <c r="A588" s="274">
        <f>IF(B588&lt;&gt;"",SUBTOTAL(103,$D$7:$D588),"")</f>
        <v>281</v>
      </c>
      <c r="B588" s="220">
        <f>IF(C588&lt;&gt;"",SUBTOTAL(103,$C$588:$C588),"")</f>
        <v>1</v>
      </c>
      <c r="C588" s="221" t="s">
        <v>149</v>
      </c>
      <c r="D588" s="47" t="s">
        <v>850</v>
      </c>
      <c r="E588" s="42" t="s">
        <v>150</v>
      </c>
      <c r="F588" s="42" t="s">
        <v>151</v>
      </c>
      <c r="G588" s="42" t="s">
        <v>346</v>
      </c>
      <c r="H588" s="42" t="s">
        <v>152</v>
      </c>
      <c r="I588" s="42" t="s">
        <v>153</v>
      </c>
      <c r="J588" s="45">
        <v>41640</v>
      </c>
      <c r="K588" s="128">
        <v>20</v>
      </c>
      <c r="L588" s="362" t="s">
        <v>46</v>
      </c>
      <c r="M588" s="363"/>
      <c r="N588" s="128">
        <v>0</v>
      </c>
      <c r="O588" s="129">
        <v>1150000</v>
      </c>
      <c r="P588" s="129">
        <f>Q588+R588+S588</f>
        <v>46750000</v>
      </c>
      <c r="Q588" s="129">
        <f>O588*N588*1.5</f>
        <v>0</v>
      </c>
      <c r="R588" s="129">
        <v>12250000</v>
      </c>
      <c r="S588" s="129">
        <f>O588*30</f>
        <v>34500000</v>
      </c>
      <c r="T588" s="264" t="s">
        <v>2109</v>
      </c>
      <c r="U588" s="222"/>
    </row>
    <row r="589" spans="1:21" s="204" customFormat="1" ht="27" customHeight="1">
      <c r="A589" s="274">
        <f>IF(B589&lt;&gt;"",SUBTOTAL(103,$D$7:$D589),"")</f>
        <v>282</v>
      </c>
      <c r="B589" s="220">
        <f>IF(C589&lt;&gt;"",SUBTOTAL(103,$C$588:$C589),"")</f>
        <v>2</v>
      </c>
      <c r="C589" s="221" t="s">
        <v>145</v>
      </c>
      <c r="D589" s="47" t="s">
        <v>146</v>
      </c>
      <c r="E589" s="42" t="s">
        <v>658</v>
      </c>
      <c r="F589" s="42" t="s">
        <v>147</v>
      </c>
      <c r="G589" s="42" t="s">
        <v>346</v>
      </c>
      <c r="H589" s="42" t="s">
        <v>148</v>
      </c>
      <c r="I589" s="42" t="s">
        <v>665</v>
      </c>
      <c r="J589" s="45">
        <v>41640</v>
      </c>
      <c r="K589" s="128">
        <v>20</v>
      </c>
      <c r="L589" s="362" t="s">
        <v>46</v>
      </c>
      <c r="M589" s="363"/>
      <c r="N589" s="128">
        <v>0</v>
      </c>
      <c r="O589" s="129">
        <v>1150000</v>
      </c>
      <c r="P589" s="129">
        <f>Q589+R589+S589</f>
        <v>49750000</v>
      </c>
      <c r="Q589" s="129">
        <f>O589*N589*1.5</f>
        <v>0</v>
      </c>
      <c r="R589" s="129">
        <f>8250000+7000000</f>
        <v>15250000</v>
      </c>
      <c r="S589" s="129">
        <f>30*O589</f>
        <v>34500000</v>
      </c>
      <c r="T589" s="264" t="s">
        <v>2110</v>
      </c>
      <c r="U589" s="240">
        <v>42662</v>
      </c>
    </row>
    <row r="590" spans="1:21" s="273" customFormat="1" ht="27" customHeight="1">
      <c r="A590" s="274">
        <f>IF(B590&lt;&gt;"",SUBTOTAL(103,$D$7:$D590),"")</f>
      </c>
      <c r="B590" s="213"/>
      <c r="C590" s="214" t="s">
        <v>706</v>
      </c>
      <c r="D590" s="218"/>
      <c r="E590" s="7"/>
      <c r="F590" s="7"/>
      <c r="G590" s="7"/>
      <c r="H590" s="7"/>
      <c r="I590" s="7"/>
      <c r="J590" s="136"/>
      <c r="K590" s="20"/>
      <c r="L590" s="21"/>
      <c r="M590" s="21"/>
      <c r="N590" s="22"/>
      <c r="O590" s="11"/>
      <c r="P590" s="12">
        <f>SUBTOTAL(109,P591:P639)</f>
        <v>839293000</v>
      </c>
      <c r="Q590" s="12">
        <f>SUBTOTAL(109,Q591:Q639)</f>
        <v>285015000</v>
      </c>
      <c r="R590" s="12">
        <f>SUBTOTAL(109,R591:R639)</f>
        <v>276478000</v>
      </c>
      <c r="S590" s="12">
        <f>SUBTOTAL(109,S591:S639)</f>
        <v>277800000</v>
      </c>
      <c r="T590" s="262"/>
      <c r="U590" s="216"/>
    </row>
    <row r="591" spans="1:21" s="204" customFormat="1" ht="27" customHeight="1">
      <c r="A591" s="274">
        <f>IF(B591&lt;&gt;"",SUBTOTAL(103,$D$7:$D591),"")</f>
        <v>283</v>
      </c>
      <c r="B591" s="220">
        <f>IF(C591&lt;&gt;"",SUBTOTAL(103,$C$591:$C591),"")</f>
        <v>1</v>
      </c>
      <c r="C591" s="221" t="s">
        <v>123</v>
      </c>
      <c r="D591" s="47" t="s">
        <v>773</v>
      </c>
      <c r="E591" s="42" t="s">
        <v>386</v>
      </c>
      <c r="F591" s="42" t="s">
        <v>774</v>
      </c>
      <c r="G591" s="42" t="s">
        <v>346</v>
      </c>
      <c r="H591" s="42" t="s">
        <v>775</v>
      </c>
      <c r="I591" s="42" t="s">
        <v>1153</v>
      </c>
      <c r="J591" s="45">
        <v>41609</v>
      </c>
      <c r="K591" s="128">
        <v>20</v>
      </c>
      <c r="L591" s="362" t="s">
        <v>46</v>
      </c>
      <c r="M591" s="363"/>
      <c r="N591" s="101">
        <v>0</v>
      </c>
      <c r="O591" s="137">
        <v>1150000</v>
      </c>
      <c r="P591" s="129">
        <f>Q591+R591+S591</f>
        <v>34500000</v>
      </c>
      <c r="Q591" s="129">
        <f>O591*N591*1.5</f>
        <v>0</v>
      </c>
      <c r="R591" s="129"/>
      <c r="S591" s="129">
        <f>30*O591</f>
        <v>34500000</v>
      </c>
      <c r="T591" s="269" t="s">
        <v>1413</v>
      </c>
      <c r="U591" s="240">
        <v>42641</v>
      </c>
    </row>
    <row r="592" spans="1:21" s="204" customFormat="1" ht="27" customHeight="1">
      <c r="A592" s="274">
        <f>IF(B592&lt;&gt;"",SUBTOTAL(103,$D$7:$D592),"")</f>
        <v>284</v>
      </c>
      <c r="B592" s="220">
        <f>IF(C592&lt;&gt;"",SUBTOTAL(103,$C$591:$C592),"")</f>
        <v>2</v>
      </c>
      <c r="C592" s="221" t="s">
        <v>1147</v>
      </c>
      <c r="D592" s="47" t="s">
        <v>1148</v>
      </c>
      <c r="E592" s="42" t="s">
        <v>1149</v>
      </c>
      <c r="F592" s="42" t="s">
        <v>1150</v>
      </c>
      <c r="G592" s="42" t="s">
        <v>346</v>
      </c>
      <c r="H592" s="42" t="s">
        <v>704</v>
      </c>
      <c r="I592" s="42" t="s">
        <v>62</v>
      </c>
      <c r="J592" s="45">
        <v>41030</v>
      </c>
      <c r="K592" s="128">
        <v>20</v>
      </c>
      <c r="L592" s="362" t="s">
        <v>46</v>
      </c>
      <c r="M592" s="363"/>
      <c r="N592" s="101">
        <v>0</v>
      </c>
      <c r="O592" s="129">
        <v>1150000</v>
      </c>
      <c r="P592" s="129">
        <f aca="true" t="shared" si="37" ref="P592:P610">Q592+R592+S592</f>
        <v>34500000</v>
      </c>
      <c r="Q592" s="129">
        <f>N592*O592*1.5</f>
        <v>0</v>
      </c>
      <c r="R592" s="129">
        <v>0</v>
      </c>
      <c r="S592" s="129">
        <f>30*O592</f>
        <v>34500000</v>
      </c>
      <c r="T592" s="250" t="s">
        <v>1432</v>
      </c>
      <c r="U592" s="240">
        <v>42641</v>
      </c>
    </row>
    <row r="593" spans="1:21" s="204" customFormat="1" ht="27" customHeight="1">
      <c r="A593" s="274">
        <f>IF(B593&lt;&gt;"",SUBTOTAL(103,$D$7:$D593),"")</f>
        <v>285</v>
      </c>
      <c r="B593" s="220">
        <f>IF(C593&lt;&gt;"",SUBTOTAL(103,$C$591:$C593),"")</f>
        <v>3</v>
      </c>
      <c r="C593" s="221" t="s">
        <v>630</v>
      </c>
      <c r="D593" s="47" t="s">
        <v>1151</v>
      </c>
      <c r="E593" s="42" t="s">
        <v>659</v>
      </c>
      <c r="F593" s="42" t="s">
        <v>1152</v>
      </c>
      <c r="G593" s="42" t="s">
        <v>346</v>
      </c>
      <c r="H593" s="42" t="s">
        <v>716</v>
      </c>
      <c r="I593" s="42" t="s">
        <v>1011</v>
      </c>
      <c r="J593" s="45">
        <v>41061</v>
      </c>
      <c r="K593" s="128">
        <v>20</v>
      </c>
      <c r="L593" s="362" t="s">
        <v>46</v>
      </c>
      <c r="M593" s="363"/>
      <c r="N593" s="101">
        <v>0</v>
      </c>
      <c r="O593" s="129">
        <v>1150000</v>
      </c>
      <c r="P593" s="129">
        <f t="shared" si="37"/>
        <v>34500000</v>
      </c>
      <c r="Q593" s="129">
        <f>N593*O593*1.5</f>
        <v>0</v>
      </c>
      <c r="R593" s="129"/>
      <c r="S593" s="129">
        <f>30*O593</f>
        <v>34500000</v>
      </c>
      <c r="T593" s="189" t="s">
        <v>1428</v>
      </c>
      <c r="U593" s="240">
        <v>42641</v>
      </c>
    </row>
    <row r="594" spans="1:21" s="204" customFormat="1" ht="27" customHeight="1">
      <c r="A594" s="274">
        <f>IF(B594&lt;&gt;"",SUBTOTAL(103,$D$7:$D594),"")</f>
        <v>286</v>
      </c>
      <c r="B594" s="220">
        <f>IF(C594&lt;&gt;"",SUBTOTAL(103,$C$591:$C594),"")</f>
        <v>4</v>
      </c>
      <c r="C594" s="221" t="s">
        <v>128</v>
      </c>
      <c r="D594" s="47" t="s">
        <v>129</v>
      </c>
      <c r="E594" s="42" t="s">
        <v>1070</v>
      </c>
      <c r="F594" s="42" t="s">
        <v>130</v>
      </c>
      <c r="G594" s="42" t="s">
        <v>346</v>
      </c>
      <c r="H594" s="42" t="s">
        <v>131</v>
      </c>
      <c r="I594" s="42" t="s">
        <v>707</v>
      </c>
      <c r="J594" s="45">
        <v>41640</v>
      </c>
      <c r="K594" s="128">
        <v>20</v>
      </c>
      <c r="L594" s="362" t="s">
        <v>46</v>
      </c>
      <c r="M594" s="363"/>
      <c r="N594" s="128">
        <v>0</v>
      </c>
      <c r="O594" s="129">
        <v>1150000</v>
      </c>
      <c r="P594" s="129">
        <f t="shared" si="37"/>
        <v>34500000</v>
      </c>
      <c r="Q594" s="129">
        <f>N594*O594*1.5</f>
        <v>0</v>
      </c>
      <c r="R594" s="129">
        <v>0</v>
      </c>
      <c r="S594" s="129">
        <f>30*O594</f>
        <v>34500000</v>
      </c>
      <c r="T594" s="189" t="s">
        <v>1429</v>
      </c>
      <c r="U594" s="240">
        <v>42641</v>
      </c>
    </row>
    <row r="595" spans="1:21" s="204" customFormat="1" ht="27" customHeight="1">
      <c r="A595" s="274">
        <f>IF(B595&lt;&gt;"",SUBTOTAL(103,$D$7:$D595),"")</f>
        <v>287</v>
      </c>
      <c r="B595" s="220">
        <f>IF(C595&lt;&gt;"",SUBTOTAL(103,$C$591:$C595),"")</f>
        <v>5</v>
      </c>
      <c r="C595" s="221" t="s">
        <v>1433</v>
      </c>
      <c r="D595" s="47" t="s">
        <v>1434</v>
      </c>
      <c r="E595" s="42" t="s">
        <v>1435</v>
      </c>
      <c r="F595" s="42" t="s">
        <v>1436</v>
      </c>
      <c r="G595" s="42" t="s">
        <v>346</v>
      </c>
      <c r="H595" s="42" t="s">
        <v>1146</v>
      </c>
      <c r="I595" s="42" t="s">
        <v>171</v>
      </c>
      <c r="J595" s="45">
        <v>42278</v>
      </c>
      <c r="K595" s="128">
        <v>0</v>
      </c>
      <c r="L595" s="45">
        <v>42278</v>
      </c>
      <c r="M595" s="45">
        <v>42705</v>
      </c>
      <c r="N595" s="128">
        <f aca="true" t="shared" si="38" ref="N595:N606">DATEDIF(L595,M595,"m")+1</f>
        <v>15</v>
      </c>
      <c r="O595" s="129"/>
      <c r="P595" s="129">
        <f t="shared" si="37"/>
        <v>51515000</v>
      </c>
      <c r="Q595" s="129">
        <f>SUM(Q596:Q597)</f>
        <v>26595000</v>
      </c>
      <c r="R595" s="129">
        <f>17088000+7832000</f>
        <v>24920000</v>
      </c>
      <c r="S595" s="129">
        <f>30*O595</f>
        <v>0</v>
      </c>
      <c r="T595" s="189" t="s">
        <v>2111</v>
      </c>
      <c r="U595" s="240">
        <v>42641</v>
      </c>
    </row>
    <row r="596" spans="1:21" s="204" customFormat="1" ht="27" customHeight="1" hidden="1" outlineLevel="1">
      <c r="A596" s="274">
        <f>IF(B596&lt;&gt;"",SUBTOTAL(103,$D$7:$D596),"")</f>
      </c>
      <c r="B596" s="220">
        <f>IF(C596&lt;&gt;"",SUBTOTAL(103,$C$591:$C596),"")</f>
      </c>
      <c r="C596" s="221"/>
      <c r="D596" s="47"/>
      <c r="E596" s="42"/>
      <c r="F596" s="42"/>
      <c r="G596" s="42"/>
      <c r="H596" s="42"/>
      <c r="I596" s="42"/>
      <c r="J596" s="45"/>
      <c r="K596" s="128"/>
      <c r="L596" s="45">
        <v>42278</v>
      </c>
      <c r="M596" s="45">
        <v>42461</v>
      </c>
      <c r="N596" s="128">
        <f t="shared" si="38"/>
        <v>7</v>
      </c>
      <c r="O596" s="129">
        <v>1150000</v>
      </c>
      <c r="P596" s="129">
        <f t="shared" si="37"/>
        <v>12075000</v>
      </c>
      <c r="Q596" s="129">
        <f>N596*O596*1.5</f>
        <v>12075000</v>
      </c>
      <c r="R596" s="129"/>
      <c r="S596" s="129"/>
      <c r="T596" s="189"/>
      <c r="U596" s="240"/>
    </row>
    <row r="597" spans="1:21" s="204" customFormat="1" ht="27" customHeight="1" hidden="1" outlineLevel="1">
      <c r="A597" s="274">
        <f>IF(B597&lt;&gt;"",SUBTOTAL(103,$D$7:$D597),"")</f>
      </c>
      <c r="B597" s="220">
        <f>IF(C597&lt;&gt;"",SUBTOTAL(103,$C$591:$C597),"")</f>
      </c>
      <c r="C597" s="221"/>
      <c r="D597" s="47"/>
      <c r="E597" s="42"/>
      <c r="F597" s="42"/>
      <c r="G597" s="42"/>
      <c r="H597" s="42"/>
      <c r="I597" s="42"/>
      <c r="J597" s="45"/>
      <c r="K597" s="128"/>
      <c r="L597" s="45">
        <v>42491</v>
      </c>
      <c r="M597" s="45">
        <v>42705</v>
      </c>
      <c r="N597" s="128">
        <f t="shared" si="38"/>
        <v>8</v>
      </c>
      <c r="O597" s="129">
        <v>1210000</v>
      </c>
      <c r="P597" s="129">
        <f t="shared" si="37"/>
        <v>14520000</v>
      </c>
      <c r="Q597" s="129">
        <f>N597*O597*1.5</f>
        <v>14520000</v>
      </c>
      <c r="R597" s="129"/>
      <c r="S597" s="129"/>
      <c r="T597" s="189"/>
      <c r="U597" s="240"/>
    </row>
    <row r="598" spans="1:21" s="204" customFormat="1" ht="27" customHeight="1" collapsed="1">
      <c r="A598" s="274">
        <f>IF(B598&lt;&gt;"",SUBTOTAL(103,$D$7:$D598),"")</f>
        <v>288</v>
      </c>
      <c r="B598" s="220">
        <f>IF(C598&lt;&gt;"",SUBTOTAL(103,$C$591:$C598),"")</f>
        <v>6</v>
      </c>
      <c r="C598" s="221" t="s">
        <v>1437</v>
      </c>
      <c r="D598" s="47" t="s">
        <v>1438</v>
      </c>
      <c r="E598" s="42" t="s">
        <v>1439</v>
      </c>
      <c r="F598" s="42" t="s">
        <v>1440</v>
      </c>
      <c r="G598" s="42" t="s">
        <v>346</v>
      </c>
      <c r="H598" s="42" t="s">
        <v>1146</v>
      </c>
      <c r="I598" s="42" t="s">
        <v>171</v>
      </c>
      <c r="J598" s="45">
        <v>42278</v>
      </c>
      <c r="K598" s="128">
        <v>0</v>
      </c>
      <c r="L598" s="45">
        <v>42278</v>
      </c>
      <c r="M598" s="45">
        <v>42705</v>
      </c>
      <c r="N598" s="128">
        <f t="shared" si="38"/>
        <v>15</v>
      </c>
      <c r="O598" s="129"/>
      <c r="P598" s="129">
        <f t="shared" si="37"/>
        <v>34427000</v>
      </c>
      <c r="Q598" s="129">
        <f>SUM(Q599:Q600)</f>
        <v>26595000</v>
      </c>
      <c r="R598" s="129">
        <f>7832000</f>
        <v>7832000</v>
      </c>
      <c r="S598" s="129">
        <f>30*O598</f>
        <v>0</v>
      </c>
      <c r="T598" s="189" t="s">
        <v>2112</v>
      </c>
      <c r="U598" s="240">
        <v>42641</v>
      </c>
    </row>
    <row r="599" spans="1:21" s="204" customFormat="1" ht="27" customHeight="1" hidden="1" outlineLevel="1">
      <c r="A599" s="274">
        <f>IF(B599&lt;&gt;"",SUBTOTAL(103,$D$7:$D599),"")</f>
      </c>
      <c r="B599" s="220">
        <f>IF(C599&lt;&gt;"",SUBTOTAL(103,$C$591:$C599),"")</f>
      </c>
      <c r="C599" s="221"/>
      <c r="D599" s="47"/>
      <c r="E599" s="42"/>
      <c r="F599" s="42"/>
      <c r="G599" s="42"/>
      <c r="H599" s="42"/>
      <c r="I599" s="42"/>
      <c r="J599" s="45"/>
      <c r="K599" s="128"/>
      <c r="L599" s="45">
        <v>42278</v>
      </c>
      <c r="M599" s="45">
        <v>42461</v>
      </c>
      <c r="N599" s="128">
        <f t="shared" si="38"/>
        <v>7</v>
      </c>
      <c r="O599" s="129">
        <v>1150000</v>
      </c>
      <c r="P599" s="129">
        <f t="shared" si="37"/>
        <v>12075000</v>
      </c>
      <c r="Q599" s="129">
        <f>N599*O599*1.5</f>
        <v>12075000</v>
      </c>
      <c r="R599" s="129"/>
      <c r="S599" s="129"/>
      <c r="T599" s="189"/>
      <c r="U599" s="240"/>
    </row>
    <row r="600" spans="1:21" s="204" customFormat="1" ht="27" customHeight="1" hidden="1" outlineLevel="1">
      <c r="A600" s="274">
        <f>IF(B600&lt;&gt;"",SUBTOTAL(103,$D$7:$D600),"")</f>
      </c>
      <c r="B600" s="220">
        <f>IF(C600&lt;&gt;"",SUBTOTAL(103,$C$591:$C600),"")</f>
      </c>
      <c r="C600" s="221"/>
      <c r="D600" s="47"/>
      <c r="E600" s="42"/>
      <c r="F600" s="42"/>
      <c r="G600" s="42"/>
      <c r="H600" s="42"/>
      <c r="I600" s="42"/>
      <c r="J600" s="45"/>
      <c r="K600" s="128"/>
      <c r="L600" s="45">
        <v>42491</v>
      </c>
      <c r="M600" s="45">
        <v>42705</v>
      </c>
      <c r="N600" s="128">
        <f t="shared" si="38"/>
        <v>8</v>
      </c>
      <c r="O600" s="129">
        <v>1210000</v>
      </c>
      <c r="P600" s="129">
        <f t="shared" si="37"/>
        <v>14520000</v>
      </c>
      <c r="Q600" s="129">
        <f>N600*O600*1.5</f>
        <v>14520000</v>
      </c>
      <c r="R600" s="129"/>
      <c r="S600" s="129"/>
      <c r="T600" s="189"/>
      <c r="U600" s="240"/>
    </row>
    <row r="601" spans="1:21" s="204" customFormat="1" ht="27" customHeight="1" collapsed="1">
      <c r="A601" s="274">
        <f>IF(B601&lt;&gt;"",SUBTOTAL(103,$D$7:$D601),"")</f>
        <v>289</v>
      </c>
      <c r="B601" s="220">
        <f>IF(C601&lt;&gt;"",SUBTOTAL(103,$C$591:$C601),"")</f>
        <v>7</v>
      </c>
      <c r="C601" s="221" t="s">
        <v>1441</v>
      </c>
      <c r="D601" s="47" t="s">
        <v>1442</v>
      </c>
      <c r="E601" s="42" t="s">
        <v>1443</v>
      </c>
      <c r="F601" s="42" t="s">
        <v>1444</v>
      </c>
      <c r="G601" s="42" t="s">
        <v>346</v>
      </c>
      <c r="H601" s="42" t="s">
        <v>1146</v>
      </c>
      <c r="I601" s="42" t="s">
        <v>171</v>
      </c>
      <c r="J601" s="45">
        <v>42278</v>
      </c>
      <c r="K601" s="128">
        <v>0</v>
      </c>
      <c r="L601" s="45">
        <v>42278</v>
      </c>
      <c r="M601" s="45">
        <v>42705</v>
      </c>
      <c r="N601" s="128">
        <f t="shared" si="38"/>
        <v>15</v>
      </c>
      <c r="O601" s="129"/>
      <c r="P601" s="129">
        <f t="shared" si="37"/>
        <v>51515000</v>
      </c>
      <c r="Q601" s="129">
        <f>SUM(Q602:Q603)</f>
        <v>26595000</v>
      </c>
      <c r="R601" s="129">
        <f>7832000+17088000</f>
        <v>24920000</v>
      </c>
      <c r="S601" s="129">
        <v>0</v>
      </c>
      <c r="T601" s="189" t="s">
        <v>2111</v>
      </c>
      <c r="U601" s="240">
        <v>42641</v>
      </c>
    </row>
    <row r="602" spans="1:21" s="204" customFormat="1" ht="27" customHeight="1" hidden="1" outlineLevel="1">
      <c r="A602" s="274">
        <f>IF(B602&lt;&gt;"",SUBTOTAL(103,$D$7:$D602),"")</f>
      </c>
      <c r="B602" s="220">
        <f>IF(C602&lt;&gt;"",SUBTOTAL(103,$C$591:$C602),"")</f>
      </c>
      <c r="C602" s="221"/>
      <c r="D602" s="47"/>
      <c r="E602" s="42"/>
      <c r="F602" s="42"/>
      <c r="G602" s="42"/>
      <c r="H602" s="42"/>
      <c r="I602" s="42"/>
      <c r="J602" s="45"/>
      <c r="K602" s="128"/>
      <c r="L602" s="45">
        <v>42278</v>
      </c>
      <c r="M602" s="45">
        <v>42461</v>
      </c>
      <c r="N602" s="128">
        <f t="shared" si="38"/>
        <v>7</v>
      </c>
      <c r="O602" s="129">
        <v>1150000</v>
      </c>
      <c r="P602" s="129">
        <f t="shared" si="37"/>
        <v>12075000</v>
      </c>
      <c r="Q602" s="129">
        <f>N602*O602*1.5</f>
        <v>12075000</v>
      </c>
      <c r="R602" s="129"/>
      <c r="S602" s="129"/>
      <c r="T602" s="189"/>
      <c r="U602" s="240"/>
    </row>
    <row r="603" spans="1:21" s="204" customFormat="1" ht="27" customHeight="1" hidden="1" outlineLevel="1">
      <c r="A603" s="274">
        <f>IF(B603&lt;&gt;"",SUBTOTAL(103,$D$7:$D603),"")</f>
      </c>
      <c r="B603" s="220">
        <f>IF(C603&lt;&gt;"",SUBTOTAL(103,$C$591:$C603),"")</f>
      </c>
      <c r="C603" s="221"/>
      <c r="D603" s="47"/>
      <c r="E603" s="42"/>
      <c r="F603" s="42"/>
      <c r="G603" s="42"/>
      <c r="H603" s="42"/>
      <c r="I603" s="42"/>
      <c r="J603" s="45"/>
      <c r="K603" s="128"/>
      <c r="L603" s="45">
        <v>42491</v>
      </c>
      <c r="M603" s="45">
        <v>42705</v>
      </c>
      <c r="N603" s="128">
        <f t="shared" si="38"/>
        <v>8</v>
      </c>
      <c r="O603" s="129">
        <v>1210000</v>
      </c>
      <c r="P603" s="129">
        <f t="shared" si="37"/>
        <v>14520000</v>
      </c>
      <c r="Q603" s="129">
        <f>N603*O603*1.5</f>
        <v>14520000</v>
      </c>
      <c r="R603" s="129"/>
      <c r="S603" s="129"/>
      <c r="T603" s="189"/>
      <c r="U603" s="240"/>
    </row>
    <row r="604" spans="1:21" s="204" customFormat="1" ht="27" customHeight="1" collapsed="1">
      <c r="A604" s="274">
        <f>IF(B604&lt;&gt;"",SUBTOTAL(103,$D$7:$D604),"")</f>
        <v>290</v>
      </c>
      <c r="B604" s="220">
        <f>IF(C604&lt;&gt;"",SUBTOTAL(103,$C$591:$C604),"")</f>
        <v>8</v>
      </c>
      <c r="C604" s="221" t="s">
        <v>1445</v>
      </c>
      <c r="D604" s="47" t="s">
        <v>1446</v>
      </c>
      <c r="E604" s="42" t="s">
        <v>1447</v>
      </c>
      <c r="F604" s="42" t="s">
        <v>1448</v>
      </c>
      <c r="G604" s="42" t="s">
        <v>346</v>
      </c>
      <c r="H604" s="42" t="s">
        <v>1146</v>
      </c>
      <c r="I604" s="42" t="s">
        <v>171</v>
      </c>
      <c r="J604" s="45">
        <v>42278</v>
      </c>
      <c r="K604" s="128">
        <v>0</v>
      </c>
      <c r="L604" s="45">
        <v>42278</v>
      </c>
      <c r="M604" s="45">
        <v>42705</v>
      </c>
      <c r="N604" s="128">
        <f t="shared" si="38"/>
        <v>15</v>
      </c>
      <c r="O604" s="129"/>
      <c r="P604" s="129">
        <f t="shared" si="37"/>
        <v>51515000</v>
      </c>
      <c r="Q604" s="129">
        <f>SUM(Q605:Q606)</f>
        <v>26595000</v>
      </c>
      <c r="R604" s="129">
        <f>7832000+17088000</f>
        <v>24920000</v>
      </c>
      <c r="S604" s="129">
        <v>0</v>
      </c>
      <c r="T604" s="189" t="s">
        <v>2111</v>
      </c>
      <c r="U604" s="240">
        <v>42641</v>
      </c>
    </row>
    <row r="605" spans="1:21" s="204" customFormat="1" ht="27" customHeight="1" hidden="1" outlineLevel="1">
      <c r="A605" s="274">
        <f>IF(B605&lt;&gt;"",SUBTOTAL(103,$D$7:$D605),"")</f>
      </c>
      <c r="B605" s="220">
        <f>IF(C605&lt;&gt;"",SUBTOTAL(103,$C$591:$C605),"")</f>
      </c>
      <c r="C605" s="221"/>
      <c r="D605" s="47"/>
      <c r="E605" s="42"/>
      <c r="F605" s="42"/>
      <c r="G605" s="42"/>
      <c r="H605" s="42"/>
      <c r="I605" s="42"/>
      <c r="J605" s="45"/>
      <c r="K605" s="128"/>
      <c r="L605" s="45">
        <v>42278</v>
      </c>
      <c r="M605" s="45">
        <v>42461</v>
      </c>
      <c r="N605" s="128">
        <f t="shared" si="38"/>
        <v>7</v>
      </c>
      <c r="O605" s="129">
        <v>1150000</v>
      </c>
      <c r="P605" s="129">
        <f t="shared" si="37"/>
        <v>12075000</v>
      </c>
      <c r="Q605" s="129">
        <f>N605*O605*1.5</f>
        <v>12075000</v>
      </c>
      <c r="R605" s="129"/>
      <c r="S605" s="129"/>
      <c r="T605" s="189"/>
      <c r="U605" s="240"/>
    </row>
    <row r="606" spans="1:21" s="204" customFormat="1" ht="27" customHeight="1" hidden="1" outlineLevel="1">
      <c r="A606" s="274">
        <f>IF(B606&lt;&gt;"",SUBTOTAL(103,$D$7:$D606),"")</f>
      </c>
      <c r="B606" s="220">
        <f>IF(C606&lt;&gt;"",SUBTOTAL(103,$C$591:$C606),"")</f>
      </c>
      <c r="C606" s="221"/>
      <c r="D606" s="47"/>
      <c r="E606" s="42"/>
      <c r="F606" s="42"/>
      <c r="G606" s="42"/>
      <c r="H606" s="42"/>
      <c r="I606" s="42"/>
      <c r="J606" s="45"/>
      <c r="K606" s="128"/>
      <c r="L606" s="45">
        <v>42491</v>
      </c>
      <c r="M606" s="45">
        <v>42705</v>
      </c>
      <c r="N606" s="128">
        <f t="shared" si="38"/>
        <v>8</v>
      </c>
      <c r="O606" s="129">
        <v>1210000</v>
      </c>
      <c r="P606" s="129">
        <f t="shared" si="37"/>
        <v>14520000</v>
      </c>
      <c r="Q606" s="129">
        <f>N606*O606*1.5</f>
        <v>14520000</v>
      </c>
      <c r="R606" s="129"/>
      <c r="S606" s="129"/>
      <c r="T606" s="189"/>
      <c r="U606" s="240"/>
    </row>
    <row r="607" spans="1:21" s="204" customFormat="1" ht="27" customHeight="1" collapsed="1">
      <c r="A607" s="274">
        <f>IF(B607&lt;&gt;"",SUBTOTAL(103,$D$7:$D607),"")</f>
        <v>291</v>
      </c>
      <c r="B607" s="220">
        <f>IF(C607&lt;&gt;"",SUBTOTAL(103,$C$591:$C607),"")</f>
        <v>9</v>
      </c>
      <c r="C607" s="221" t="s">
        <v>125</v>
      </c>
      <c r="D607" s="47" t="s">
        <v>126</v>
      </c>
      <c r="E607" s="42" t="s">
        <v>762</v>
      </c>
      <c r="F607" s="42" t="s">
        <v>127</v>
      </c>
      <c r="G607" s="42" t="s">
        <v>346</v>
      </c>
      <c r="H607" s="42" t="s">
        <v>763</v>
      </c>
      <c r="I607" s="42" t="s">
        <v>707</v>
      </c>
      <c r="J607" s="45">
        <v>41640</v>
      </c>
      <c r="K607" s="128">
        <v>20</v>
      </c>
      <c r="L607" s="362" t="s">
        <v>46</v>
      </c>
      <c r="M607" s="363"/>
      <c r="N607" s="128">
        <v>0</v>
      </c>
      <c r="O607" s="129">
        <v>1150000</v>
      </c>
      <c r="P607" s="129">
        <f t="shared" si="37"/>
        <v>34500000</v>
      </c>
      <c r="Q607" s="129">
        <f>N607*O607*1.5</f>
        <v>0</v>
      </c>
      <c r="R607" s="129">
        <v>0</v>
      </c>
      <c r="S607" s="129">
        <f>30*O607</f>
        <v>34500000</v>
      </c>
      <c r="T607" s="269" t="s">
        <v>1431</v>
      </c>
      <c r="U607" s="240">
        <v>42641</v>
      </c>
    </row>
    <row r="608" spans="1:21" s="204" customFormat="1" ht="27" customHeight="1">
      <c r="A608" s="274">
        <f>IF(B608&lt;&gt;"",SUBTOTAL(103,$D$7:$D608),"")</f>
        <v>292</v>
      </c>
      <c r="B608" s="220">
        <f>IF(C608&lt;&gt;"",SUBTOTAL(103,$C$591:$C608),"")</f>
        <v>10</v>
      </c>
      <c r="C608" s="245" t="s">
        <v>121</v>
      </c>
      <c r="D608" s="47" t="s">
        <v>296</v>
      </c>
      <c r="E608" s="42" t="s">
        <v>294</v>
      </c>
      <c r="F608" s="42" t="s">
        <v>122</v>
      </c>
      <c r="G608" s="42" t="s">
        <v>346</v>
      </c>
      <c r="H608" s="42" t="s">
        <v>761</v>
      </c>
      <c r="I608" s="42" t="s">
        <v>707</v>
      </c>
      <c r="J608" s="45">
        <v>41640</v>
      </c>
      <c r="K608" s="128">
        <v>20</v>
      </c>
      <c r="L608" s="362" t="s">
        <v>46</v>
      </c>
      <c r="M608" s="363"/>
      <c r="N608" s="128">
        <v>0</v>
      </c>
      <c r="O608" s="129">
        <v>1150000</v>
      </c>
      <c r="P608" s="129">
        <f t="shared" si="37"/>
        <v>34500000</v>
      </c>
      <c r="Q608" s="129">
        <f>N608*O608*1.5</f>
        <v>0</v>
      </c>
      <c r="R608" s="129">
        <v>0</v>
      </c>
      <c r="S608" s="129">
        <f>30*O608</f>
        <v>34500000</v>
      </c>
      <c r="T608" s="269" t="s">
        <v>1430</v>
      </c>
      <c r="U608" s="240">
        <v>42641</v>
      </c>
    </row>
    <row r="609" spans="1:21" s="204" customFormat="1" ht="27" customHeight="1">
      <c r="A609" s="274">
        <f>IF(B609&lt;&gt;"",SUBTOTAL(103,$D$7:$D609),"")</f>
        <v>293</v>
      </c>
      <c r="B609" s="220">
        <f>IF(C609&lt;&gt;"",SUBTOTAL(103,$C$591:$C609),"")</f>
        <v>11</v>
      </c>
      <c r="C609" s="245" t="s">
        <v>1006</v>
      </c>
      <c r="D609" s="275" t="s">
        <v>1007</v>
      </c>
      <c r="E609" s="43" t="s">
        <v>1008</v>
      </c>
      <c r="F609" s="43" t="s">
        <v>730</v>
      </c>
      <c r="G609" s="43" t="s">
        <v>346</v>
      </c>
      <c r="H609" s="43" t="s">
        <v>731</v>
      </c>
      <c r="I609" s="43" t="s">
        <v>732</v>
      </c>
      <c r="J609" s="45">
        <v>41640</v>
      </c>
      <c r="K609" s="128">
        <v>20</v>
      </c>
      <c r="L609" s="362" t="s">
        <v>46</v>
      </c>
      <c r="M609" s="363"/>
      <c r="N609" s="128">
        <v>0</v>
      </c>
      <c r="O609" s="129">
        <v>1210000</v>
      </c>
      <c r="P609" s="129">
        <f t="shared" si="37"/>
        <v>40108000</v>
      </c>
      <c r="Q609" s="129">
        <f>N609*O609*1.5</f>
        <v>0</v>
      </c>
      <c r="R609" s="129">
        <f>3808000</f>
        <v>3808000</v>
      </c>
      <c r="S609" s="129">
        <f>30*O609</f>
        <v>36300000</v>
      </c>
      <c r="T609" s="259" t="s">
        <v>2113</v>
      </c>
      <c r="U609" s="242"/>
    </row>
    <row r="610" spans="1:21" s="204" customFormat="1" ht="27" customHeight="1">
      <c r="A610" s="274">
        <f>IF(B610&lt;&gt;"",SUBTOTAL(103,$D$7:$D610),"")</f>
        <v>294</v>
      </c>
      <c r="B610" s="220">
        <f>IF(C610&lt;&gt;"",SUBTOTAL(103,$C$591:$C610),"")</f>
        <v>12</v>
      </c>
      <c r="C610" s="221" t="s">
        <v>733</v>
      </c>
      <c r="D610" s="47" t="s">
        <v>929</v>
      </c>
      <c r="E610" s="42" t="s">
        <v>734</v>
      </c>
      <c r="F610" s="42" t="s">
        <v>735</v>
      </c>
      <c r="G610" s="42" t="s">
        <v>346</v>
      </c>
      <c r="H610" s="42" t="s">
        <v>1146</v>
      </c>
      <c r="I610" s="42" t="s">
        <v>765</v>
      </c>
      <c r="J610" s="45">
        <v>41913</v>
      </c>
      <c r="K610" s="128">
        <v>15</v>
      </c>
      <c r="L610" s="45">
        <v>42370</v>
      </c>
      <c r="M610" s="45">
        <v>42491</v>
      </c>
      <c r="N610" s="128">
        <f aca="true" t="shared" si="39" ref="N610:N621">DATEDIF(L610,M610,"m")+1</f>
        <v>5</v>
      </c>
      <c r="O610" s="129"/>
      <c r="P610" s="129">
        <f t="shared" si="37"/>
        <v>23667000</v>
      </c>
      <c r="Q610" s="129">
        <f>SUM(Q611:Q612)</f>
        <v>8715000</v>
      </c>
      <c r="R610" s="129">
        <f>7120000+7832000</f>
        <v>14952000</v>
      </c>
      <c r="S610" s="129">
        <v>0</v>
      </c>
      <c r="T610" s="259" t="s">
        <v>309</v>
      </c>
      <c r="U610" s="240">
        <v>42641</v>
      </c>
    </row>
    <row r="611" spans="1:21" s="294" customFormat="1" ht="27" customHeight="1" hidden="1" outlineLevel="1">
      <c r="A611" s="274">
        <f>IF(B611&lt;&gt;"",SUBTOTAL(103,$D$7:$D611),"")</f>
      </c>
      <c r="B611" s="220">
        <f>IF(C611&lt;&gt;"",SUBTOTAL(103,$C$591:$C611),"")</f>
      </c>
      <c r="C611" s="221"/>
      <c r="D611" s="47"/>
      <c r="E611" s="42"/>
      <c r="F611" s="42"/>
      <c r="G611" s="42"/>
      <c r="H611" s="42"/>
      <c r="I611" s="42"/>
      <c r="J611" s="45"/>
      <c r="K611" s="128"/>
      <c r="L611" s="45">
        <v>42370</v>
      </c>
      <c r="M611" s="45">
        <v>42461</v>
      </c>
      <c r="N611" s="128">
        <f t="shared" si="39"/>
        <v>4</v>
      </c>
      <c r="O611" s="129">
        <v>1150000</v>
      </c>
      <c r="P611" s="129"/>
      <c r="Q611" s="129">
        <f>N611*O611*1.5</f>
        <v>6900000</v>
      </c>
      <c r="R611" s="129"/>
      <c r="S611" s="129"/>
      <c r="T611" s="259"/>
      <c r="U611" s="222"/>
    </row>
    <row r="612" spans="1:21" s="294" customFormat="1" ht="27" customHeight="1" hidden="1" outlineLevel="1">
      <c r="A612" s="274">
        <f>IF(B612&lt;&gt;"",SUBTOTAL(103,$D$7:$D612),"")</f>
      </c>
      <c r="B612" s="220">
        <f>IF(C612&lt;&gt;"",SUBTOTAL(103,$C$591:$C612),"")</f>
      </c>
      <c r="C612" s="221"/>
      <c r="D612" s="47"/>
      <c r="E612" s="42"/>
      <c r="F612" s="42"/>
      <c r="G612" s="42"/>
      <c r="H612" s="42"/>
      <c r="I612" s="42"/>
      <c r="J612" s="45"/>
      <c r="K612" s="128"/>
      <c r="L612" s="45">
        <v>42491</v>
      </c>
      <c r="M612" s="45">
        <v>42521</v>
      </c>
      <c r="N612" s="128">
        <f t="shared" si="39"/>
        <v>1</v>
      </c>
      <c r="O612" s="129">
        <v>1210000</v>
      </c>
      <c r="P612" s="129"/>
      <c r="Q612" s="129">
        <f>N612*O612*1.5</f>
        <v>1815000</v>
      </c>
      <c r="R612" s="129"/>
      <c r="S612" s="129"/>
      <c r="T612" s="259"/>
      <c r="U612" s="222"/>
    </row>
    <row r="613" spans="1:21" s="204" customFormat="1" ht="27" customHeight="1" collapsed="1">
      <c r="A613" s="274">
        <f>IF(B613&lt;&gt;"",SUBTOTAL(103,$D$7:$D613),"")</f>
        <v>295</v>
      </c>
      <c r="B613" s="220">
        <f>IF(C613&lt;&gt;"",SUBTOTAL(103,$C$591:$C613),"")</f>
        <v>13</v>
      </c>
      <c r="C613" s="221" t="s">
        <v>736</v>
      </c>
      <c r="D613" s="47" t="s">
        <v>737</v>
      </c>
      <c r="E613" s="42" t="s">
        <v>2161</v>
      </c>
      <c r="F613" s="42" t="s">
        <v>738</v>
      </c>
      <c r="G613" s="42" t="s">
        <v>346</v>
      </c>
      <c r="H613" s="42" t="s">
        <v>1146</v>
      </c>
      <c r="I613" s="42" t="s">
        <v>765</v>
      </c>
      <c r="J613" s="45">
        <v>41913</v>
      </c>
      <c r="K613" s="128">
        <v>15</v>
      </c>
      <c r="L613" s="45">
        <v>42370</v>
      </c>
      <c r="M613" s="45">
        <v>42491</v>
      </c>
      <c r="N613" s="128">
        <f t="shared" si="39"/>
        <v>5</v>
      </c>
      <c r="O613" s="129"/>
      <c r="P613" s="129">
        <f>Q613+R613+S613</f>
        <v>23667000</v>
      </c>
      <c r="Q613" s="129">
        <f>SUM(Q614:Q615)</f>
        <v>8715000</v>
      </c>
      <c r="R613" s="129">
        <f>7120000+7832000</f>
        <v>14952000</v>
      </c>
      <c r="S613" s="129">
        <v>0</v>
      </c>
      <c r="T613" s="259" t="s">
        <v>309</v>
      </c>
      <c r="U613" s="240">
        <v>42641</v>
      </c>
    </row>
    <row r="614" spans="1:21" s="294" customFormat="1" ht="27" customHeight="1" hidden="1" outlineLevel="1">
      <c r="A614" s="274">
        <f>IF(B614&lt;&gt;"",SUBTOTAL(103,$D$7:$D614),"")</f>
      </c>
      <c r="B614" s="220">
        <f>IF(C614&lt;&gt;"",SUBTOTAL(103,$C$591:$C614),"")</f>
      </c>
      <c r="C614" s="221"/>
      <c r="D614" s="47"/>
      <c r="E614" s="42"/>
      <c r="F614" s="42"/>
      <c r="G614" s="42"/>
      <c r="H614" s="42"/>
      <c r="I614" s="42"/>
      <c r="J614" s="45"/>
      <c r="K614" s="128"/>
      <c r="L614" s="45">
        <v>42370</v>
      </c>
      <c r="M614" s="45">
        <v>42461</v>
      </c>
      <c r="N614" s="128">
        <f t="shared" si="39"/>
        <v>4</v>
      </c>
      <c r="O614" s="129">
        <v>1150000</v>
      </c>
      <c r="P614" s="129"/>
      <c r="Q614" s="129">
        <f>N614*O614*1.5</f>
        <v>6900000</v>
      </c>
      <c r="R614" s="129"/>
      <c r="S614" s="129"/>
      <c r="T614" s="259"/>
      <c r="U614" s="222"/>
    </row>
    <row r="615" spans="1:21" s="294" customFormat="1" ht="27" customHeight="1" hidden="1" outlineLevel="1">
      <c r="A615" s="274">
        <f>IF(B615&lt;&gt;"",SUBTOTAL(103,$D$7:$D615),"")</f>
      </c>
      <c r="B615" s="220">
        <f>IF(C615&lt;&gt;"",SUBTOTAL(103,$C$591:$C615),"")</f>
      </c>
      <c r="C615" s="221"/>
      <c r="D615" s="47"/>
      <c r="E615" s="42"/>
      <c r="F615" s="42"/>
      <c r="G615" s="42"/>
      <c r="H615" s="42"/>
      <c r="I615" s="42"/>
      <c r="J615" s="45"/>
      <c r="K615" s="128"/>
      <c r="L615" s="45">
        <v>42491</v>
      </c>
      <c r="M615" s="45">
        <v>42521</v>
      </c>
      <c r="N615" s="128">
        <f t="shared" si="39"/>
        <v>1</v>
      </c>
      <c r="O615" s="129">
        <v>1210000</v>
      </c>
      <c r="P615" s="129"/>
      <c r="Q615" s="129">
        <f>N615*O615*1.5</f>
        <v>1815000</v>
      </c>
      <c r="R615" s="129"/>
      <c r="S615" s="129"/>
      <c r="T615" s="259"/>
      <c r="U615" s="222"/>
    </row>
    <row r="616" spans="1:21" s="204" customFormat="1" ht="27" customHeight="1" collapsed="1">
      <c r="A616" s="274">
        <f>IF(B616&lt;&gt;"",SUBTOTAL(103,$D$7:$D616),"")</f>
        <v>296</v>
      </c>
      <c r="B616" s="220">
        <f>IF(C616&lt;&gt;"",SUBTOTAL(103,$C$591:$C616),"")</f>
        <v>14</v>
      </c>
      <c r="C616" s="221" t="s">
        <v>739</v>
      </c>
      <c r="D616" s="47" t="s">
        <v>454</v>
      </c>
      <c r="E616" s="42" t="s">
        <v>244</v>
      </c>
      <c r="F616" s="42" t="s">
        <v>740</v>
      </c>
      <c r="G616" s="42" t="s">
        <v>346</v>
      </c>
      <c r="H616" s="42" t="s">
        <v>1146</v>
      </c>
      <c r="I616" s="42" t="s">
        <v>765</v>
      </c>
      <c r="J616" s="45">
        <v>41913</v>
      </c>
      <c r="K616" s="128">
        <v>15</v>
      </c>
      <c r="L616" s="45">
        <v>42370</v>
      </c>
      <c r="M616" s="45">
        <v>42491</v>
      </c>
      <c r="N616" s="128">
        <f t="shared" si="39"/>
        <v>5</v>
      </c>
      <c r="O616" s="129"/>
      <c r="P616" s="129">
        <f>Q616+R616+S616</f>
        <v>23667000</v>
      </c>
      <c r="Q616" s="129">
        <f>SUM(Q617:Q618)</f>
        <v>8715000</v>
      </c>
      <c r="R616" s="129">
        <f>7120000+7832000</f>
        <v>14952000</v>
      </c>
      <c r="S616" s="129">
        <v>0</v>
      </c>
      <c r="T616" s="259" t="s">
        <v>309</v>
      </c>
      <c r="U616" s="240">
        <v>42641</v>
      </c>
    </row>
    <row r="617" spans="1:21" s="294" customFormat="1" ht="27" customHeight="1" hidden="1" outlineLevel="1">
      <c r="A617" s="274">
        <f>IF(B617&lt;&gt;"",SUBTOTAL(103,$D$7:$D617),"")</f>
      </c>
      <c r="B617" s="220">
        <f>IF(C617&lt;&gt;"",SUBTOTAL(103,$C$591:$C617),"")</f>
      </c>
      <c r="C617" s="221"/>
      <c r="D617" s="47"/>
      <c r="E617" s="42"/>
      <c r="F617" s="42"/>
      <c r="G617" s="42"/>
      <c r="H617" s="42"/>
      <c r="I617" s="42"/>
      <c r="J617" s="45"/>
      <c r="K617" s="128"/>
      <c r="L617" s="45">
        <v>42370</v>
      </c>
      <c r="M617" s="45">
        <v>42461</v>
      </c>
      <c r="N617" s="128">
        <f t="shared" si="39"/>
        <v>4</v>
      </c>
      <c r="O617" s="129">
        <v>1150000</v>
      </c>
      <c r="P617" s="129"/>
      <c r="Q617" s="129">
        <f>N617*O617*1.5</f>
        <v>6900000</v>
      </c>
      <c r="R617" s="129"/>
      <c r="S617" s="129"/>
      <c r="T617" s="259"/>
      <c r="U617" s="222"/>
    </row>
    <row r="618" spans="1:21" s="294" customFormat="1" ht="27" customHeight="1" hidden="1" outlineLevel="1">
      <c r="A618" s="274">
        <f>IF(B618&lt;&gt;"",SUBTOTAL(103,$D$7:$D618),"")</f>
      </c>
      <c r="B618" s="220">
        <f>IF(C618&lt;&gt;"",SUBTOTAL(103,$C$591:$C618),"")</f>
      </c>
      <c r="C618" s="221"/>
      <c r="D618" s="47"/>
      <c r="E618" s="42"/>
      <c r="F618" s="42"/>
      <c r="G618" s="42"/>
      <c r="H618" s="42"/>
      <c r="I618" s="42"/>
      <c r="J618" s="45"/>
      <c r="K618" s="128"/>
      <c r="L618" s="45">
        <v>42491</v>
      </c>
      <c r="M618" s="45">
        <v>42521</v>
      </c>
      <c r="N618" s="128">
        <f t="shared" si="39"/>
        <v>1</v>
      </c>
      <c r="O618" s="129">
        <v>1210000</v>
      </c>
      <c r="P618" s="129"/>
      <c r="Q618" s="129">
        <f>N618*O618*1.5</f>
        <v>1815000</v>
      </c>
      <c r="R618" s="129"/>
      <c r="S618" s="129"/>
      <c r="T618" s="259"/>
      <c r="U618" s="222"/>
    </row>
    <row r="619" spans="1:21" s="204" customFormat="1" ht="27" customHeight="1" collapsed="1">
      <c r="A619" s="274">
        <f>IF(B619&lt;&gt;"",SUBTOTAL(103,$D$7:$D619),"")</f>
        <v>297</v>
      </c>
      <c r="B619" s="220">
        <f>IF(C619&lt;&gt;"",SUBTOTAL(103,$C$591:$C619),"")</f>
        <v>15</v>
      </c>
      <c r="C619" s="221" t="s">
        <v>741</v>
      </c>
      <c r="D619" s="47" t="s">
        <v>742</v>
      </c>
      <c r="E619" s="42" t="s">
        <v>743</v>
      </c>
      <c r="F619" s="42" t="s">
        <v>744</v>
      </c>
      <c r="G619" s="42" t="s">
        <v>346</v>
      </c>
      <c r="H619" s="42" t="s">
        <v>1146</v>
      </c>
      <c r="I619" s="42" t="s">
        <v>765</v>
      </c>
      <c r="J619" s="45">
        <v>41913</v>
      </c>
      <c r="K619" s="128">
        <v>15</v>
      </c>
      <c r="L619" s="45">
        <v>42370</v>
      </c>
      <c r="M619" s="45">
        <v>42491</v>
      </c>
      <c r="N619" s="128">
        <f t="shared" si="39"/>
        <v>5</v>
      </c>
      <c r="O619" s="129"/>
      <c r="P619" s="129">
        <f>Q619+R619+S619</f>
        <v>23667000</v>
      </c>
      <c r="Q619" s="129">
        <f>SUM(Q620:Q621)</f>
        <v>8715000</v>
      </c>
      <c r="R619" s="129">
        <f>7120000+7832000</f>
        <v>14952000</v>
      </c>
      <c r="S619" s="129">
        <v>0</v>
      </c>
      <c r="T619" s="259" t="s">
        <v>309</v>
      </c>
      <c r="U619" s="240">
        <v>42641</v>
      </c>
    </row>
    <row r="620" spans="1:21" s="204" customFormat="1" ht="27" customHeight="1" hidden="1" outlineLevel="1">
      <c r="A620" s="274">
        <f>IF(B620&lt;&gt;"",SUBTOTAL(103,$D$7:$D620),"")</f>
      </c>
      <c r="B620" s="220">
        <f>IF(C620&lt;&gt;"",SUBTOTAL(103,$C$591:$C620),"")</f>
      </c>
      <c r="C620" s="221"/>
      <c r="D620" s="47"/>
      <c r="E620" s="42"/>
      <c r="F620" s="42"/>
      <c r="G620" s="42"/>
      <c r="H620" s="42"/>
      <c r="I620" s="42"/>
      <c r="J620" s="45"/>
      <c r="K620" s="128"/>
      <c r="L620" s="45">
        <v>42370</v>
      </c>
      <c r="M620" s="45">
        <v>42461</v>
      </c>
      <c r="N620" s="128">
        <f t="shared" si="39"/>
        <v>4</v>
      </c>
      <c r="O620" s="129">
        <v>1150000</v>
      </c>
      <c r="P620" s="129"/>
      <c r="Q620" s="129">
        <f>N620*O620*1.5</f>
        <v>6900000</v>
      </c>
      <c r="R620" s="129"/>
      <c r="S620" s="129"/>
      <c r="T620" s="259"/>
      <c r="U620" s="222"/>
    </row>
    <row r="621" spans="1:21" s="204" customFormat="1" ht="27" customHeight="1" hidden="1" outlineLevel="1">
      <c r="A621" s="274">
        <f>IF(B621&lt;&gt;"",SUBTOTAL(103,$D$7:$D621),"")</f>
      </c>
      <c r="B621" s="220">
        <f>IF(C621&lt;&gt;"",SUBTOTAL(103,$C$591:$C621),"")</f>
      </c>
      <c r="C621" s="221"/>
      <c r="D621" s="47"/>
      <c r="E621" s="42"/>
      <c r="F621" s="42"/>
      <c r="G621" s="42"/>
      <c r="H621" s="42"/>
      <c r="I621" s="42"/>
      <c r="J621" s="45"/>
      <c r="K621" s="128"/>
      <c r="L621" s="45">
        <v>42491</v>
      </c>
      <c r="M621" s="45">
        <v>42521</v>
      </c>
      <c r="N621" s="128">
        <f t="shared" si="39"/>
        <v>1</v>
      </c>
      <c r="O621" s="129">
        <v>1210000</v>
      </c>
      <c r="P621" s="129"/>
      <c r="Q621" s="129">
        <f>N621*O621*1.5</f>
        <v>1815000</v>
      </c>
      <c r="R621" s="129"/>
      <c r="S621" s="129"/>
      <c r="T621" s="259"/>
      <c r="U621" s="222"/>
    </row>
    <row r="622" spans="1:21" s="204" customFormat="1" ht="27" customHeight="1" collapsed="1">
      <c r="A622" s="274">
        <f>IF(B622&lt;&gt;"",SUBTOTAL(103,$D$7:$D622),"")</f>
        <v>298</v>
      </c>
      <c r="B622" s="220">
        <f>IF(C622&lt;&gt;"",SUBTOTAL(103,$C$591:$C622),"")</f>
        <v>16</v>
      </c>
      <c r="C622" s="221" t="s">
        <v>748</v>
      </c>
      <c r="D622" s="47" t="s">
        <v>749</v>
      </c>
      <c r="E622" s="42" t="s">
        <v>1069</v>
      </c>
      <c r="F622" s="42" t="s">
        <v>750</v>
      </c>
      <c r="G622" s="42" t="s">
        <v>346</v>
      </c>
      <c r="H622" s="42" t="s">
        <v>700</v>
      </c>
      <c r="I622" s="42" t="s">
        <v>751</v>
      </c>
      <c r="J622" s="45">
        <v>41640</v>
      </c>
      <c r="K622" s="128">
        <v>20</v>
      </c>
      <c r="L622" s="362" t="s">
        <v>46</v>
      </c>
      <c r="M622" s="363"/>
      <c r="N622" s="128">
        <v>0</v>
      </c>
      <c r="O622" s="129">
        <v>1150000</v>
      </c>
      <c r="P622" s="129">
        <f aca="true" t="shared" si="40" ref="P622:P639">Q622+R622+S622</f>
        <v>42750000</v>
      </c>
      <c r="Q622" s="129">
        <f>N622*O622*1.5</f>
        <v>0</v>
      </c>
      <c r="R622" s="129">
        <v>8250000</v>
      </c>
      <c r="S622" s="129">
        <f>30*O622</f>
        <v>34500000</v>
      </c>
      <c r="T622" s="269" t="s">
        <v>2114</v>
      </c>
      <c r="U622" s="222"/>
    </row>
    <row r="623" spans="1:21" s="204" customFormat="1" ht="27" customHeight="1">
      <c r="A623" s="274">
        <f>IF(B623&lt;&gt;"",SUBTOTAL(103,$D$7:$D623),"")</f>
        <v>299</v>
      </c>
      <c r="B623" s="220">
        <f>IF(C623&lt;&gt;"",SUBTOTAL(103,$C$591:$C623),"")</f>
        <v>17</v>
      </c>
      <c r="C623" s="221" t="s">
        <v>1449</v>
      </c>
      <c r="D623" s="47" t="s">
        <v>1450</v>
      </c>
      <c r="E623" s="42" t="s">
        <v>1451</v>
      </c>
      <c r="F623" s="42" t="s">
        <v>1452</v>
      </c>
      <c r="G623" s="42" t="s">
        <v>346</v>
      </c>
      <c r="H623" s="42" t="s">
        <v>1453</v>
      </c>
      <c r="I623" s="42" t="s">
        <v>1288</v>
      </c>
      <c r="J623" s="45">
        <v>42278</v>
      </c>
      <c r="K623" s="128">
        <v>0</v>
      </c>
      <c r="L623" s="45">
        <v>42278</v>
      </c>
      <c r="M623" s="45">
        <v>42705</v>
      </c>
      <c r="N623" s="128">
        <f aca="true" t="shared" si="41" ref="N623:N639">DATEDIF(L623,M623,"m")+1</f>
        <v>15</v>
      </c>
      <c r="O623" s="129"/>
      <c r="P623" s="129">
        <f t="shared" si="40"/>
        <v>49882500</v>
      </c>
      <c r="Q623" s="129">
        <f>SUM(Q624:Q625)</f>
        <v>26595000</v>
      </c>
      <c r="R623" s="129">
        <f>9092000+14195500</f>
        <v>23287500</v>
      </c>
      <c r="S623" s="129">
        <v>0</v>
      </c>
      <c r="T623" s="189" t="s">
        <v>2111</v>
      </c>
      <c r="U623" s="240">
        <v>42641</v>
      </c>
    </row>
    <row r="624" spans="1:21" s="204" customFormat="1" ht="27" customHeight="1" hidden="1" outlineLevel="1">
      <c r="A624" s="274">
        <f>IF(B624&lt;&gt;"",SUBTOTAL(103,$D$7:$D624),"")</f>
      </c>
      <c r="B624" s="220">
        <f>IF(C624&lt;&gt;"",SUBTOTAL(103,$C$591:$C624),"")</f>
      </c>
      <c r="C624" s="221"/>
      <c r="D624" s="47"/>
      <c r="E624" s="42"/>
      <c r="F624" s="42"/>
      <c r="G624" s="42"/>
      <c r="H624" s="42"/>
      <c r="I624" s="42"/>
      <c r="J624" s="45"/>
      <c r="K624" s="128"/>
      <c r="L624" s="45">
        <v>42278</v>
      </c>
      <c r="M624" s="45">
        <v>42461</v>
      </c>
      <c r="N624" s="128">
        <f t="shared" si="41"/>
        <v>7</v>
      </c>
      <c r="O624" s="129">
        <v>1150000</v>
      </c>
      <c r="P624" s="129">
        <f t="shared" si="40"/>
        <v>12075000</v>
      </c>
      <c r="Q624" s="129">
        <f>N624*O624*1.5</f>
        <v>12075000</v>
      </c>
      <c r="R624" s="129"/>
      <c r="S624" s="129"/>
      <c r="T624" s="189"/>
      <c r="U624" s="222"/>
    </row>
    <row r="625" spans="1:21" s="204" customFormat="1" ht="27" customHeight="1" hidden="1" outlineLevel="1">
      <c r="A625" s="274">
        <f>IF(B625&lt;&gt;"",SUBTOTAL(103,$D$7:$D625),"")</f>
      </c>
      <c r="B625" s="220">
        <f>IF(C625&lt;&gt;"",SUBTOTAL(103,$C$591:$C625),"")</f>
      </c>
      <c r="C625" s="221"/>
      <c r="D625" s="47"/>
      <c r="E625" s="42"/>
      <c r="F625" s="42"/>
      <c r="G625" s="42"/>
      <c r="H625" s="42"/>
      <c r="I625" s="42"/>
      <c r="J625" s="45"/>
      <c r="K625" s="128"/>
      <c r="L625" s="45">
        <v>42491</v>
      </c>
      <c r="M625" s="45">
        <v>42705</v>
      </c>
      <c r="N625" s="128">
        <f t="shared" si="41"/>
        <v>8</v>
      </c>
      <c r="O625" s="129">
        <v>1210000</v>
      </c>
      <c r="P625" s="129">
        <f t="shared" si="40"/>
        <v>14520000</v>
      </c>
      <c r="Q625" s="129">
        <f>N625*O625*1.5</f>
        <v>14520000</v>
      </c>
      <c r="R625" s="129"/>
      <c r="S625" s="129"/>
      <c r="T625" s="189"/>
      <c r="U625" s="222"/>
    </row>
    <row r="626" spans="1:21" s="204" customFormat="1" ht="27" customHeight="1" collapsed="1">
      <c r="A626" s="274">
        <f>IF(B626&lt;&gt;"",SUBTOTAL(103,$D$7:$D626),"")</f>
        <v>300</v>
      </c>
      <c r="B626" s="220">
        <f>IF(C626&lt;&gt;"",SUBTOTAL(103,$C$591:$C626),"")</f>
        <v>18</v>
      </c>
      <c r="C626" s="221" t="s">
        <v>1454</v>
      </c>
      <c r="D626" s="47" t="s">
        <v>1455</v>
      </c>
      <c r="E626" s="42" t="s">
        <v>1456</v>
      </c>
      <c r="F626" s="42" t="s">
        <v>1457</v>
      </c>
      <c r="G626" s="42" t="s">
        <v>346</v>
      </c>
      <c r="H626" s="42" t="s">
        <v>1458</v>
      </c>
      <c r="I626" s="42" t="s">
        <v>392</v>
      </c>
      <c r="J626" s="45">
        <v>42401</v>
      </c>
      <c r="K626" s="128">
        <v>0</v>
      </c>
      <c r="L626" s="45">
        <v>42401</v>
      </c>
      <c r="M626" s="45">
        <v>42705</v>
      </c>
      <c r="N626" s="128">
        <f t="shared" si="41"/>
        <v>11</v>
      </c>
      <c r="O626" s="129"/>
      <c r="P626" s="129">
        <f t="shared" si="40"/>
        <v>24195000</v>
      </c>
      <c r="Q626" s="129">
        <f>SUM(Q627:Q628)</f>
        <v>19695000</v>
      </c>
      <c r="R626" s="129">
        <f>4500000</f>
        <v>4500000</v>
      </c>
      <c r="S626" s="129">
        <v>0</v>
      </c>
      <c r="T626" s="269" t="s">
        <v>331</v>
      </c>
      <c r="U626" s="240">
        <v>42641</v>
      </c>
    </row>
    <row r="627" spans="1:21" s="204" customFormat="1" ht="27" customHeight="1" hidden="1" outlineLevel="1">
      <c r="A627" s="274">
        <f>IF(B627&lt;&gt;"",SUBTOTAL(103,$D$7:$D627),"")</f>
      </c>
      <c r="B627" s="220">
        <f>IF(C627&lt;&gt;"",SUBTOTAL(103,$C$591:$C627),"")</f>
      </c>
      <c r="C627" s="221"/>
      <c r="D627" s="47"/>
      <c r="E627" s="42"/>
      <c r="F627" s="42"/>
      <c r="G627" s="42"/>
      <c r="H627" s="42"/>
      <c r="I627" s="42"/>
      <c r="J627" s="45"/>
      <c r="K627" s="128"/>
      <c r="L627" s="45">
        <v>42401</v>
      </c>
      <c r="M627" s="45">
        <v>42461</v>
      </c>
      <c r="N627" s="128">
        <f t="shared" si="41"/>
        <v>3</v>
      </c>
      <c r="O627" s="129">
        <v>1150000</v>
      </c>
      <c r="P627" s="129">
        <f t="shared" si="40"/>
        <v>5175000</v>
      </c>
      <c r="Q627" s="129">
        <f>N627*O627*1.5</f>
        <v>5175000</v>
      </c>
      <c r="R627" s="129"/>
      <c r="S627" s="129"/>
      <c r="T627" s="269"/>
      <c r="U627" s="222"/>
    </row>
    <row r="628" spans="1:21" s="204" customFormat="1" ht="27" customHeight="1" hidden="1" outlineLevel="1">
      <c r="A628" s="274">
        <f>IF(B628&lt;&gt;"",SUBTOTAL(103,$D$7:$D628),"")</f>
      </c>
      <c r="B628" s="220">
        <f>IF(C628&lt;&gt;"",SUBTOTAL(103,$C$591:$C628),"")</f>
      </c>
      <c r="C628" s="221"/>
      <c r="D628" s="47"/>
      <c r="E628" s="42"/>
      <c r="F628" s="42"/>
      <c r="G628" s="42"/>
      <c r="H628" s="42"/>
      <c r="I628" s="42"/>
      <c r="J628" s="45"/>
      <c r="K628" s="128"/>
      <c r="L628" s="45">
        <v>42491</v>
      </c>
      <c r="M628" s="45">
        <v>42705</v>
      </c>
      <c r="N628" s="128">
        <f t="shared" si="41"/>
        <v>8</v>
      </c>
      <c r="O628" s="129">
        <v>1210000</v>
      </c>
      <c r="P628" s="129">
        <f t="shared" si="40"/>
        <v>14520000</v>
      </c>
      <c r="Q628" s="129">
        <f>N628*O628*1.5</f>
        <v>14520000</v>
      </c>
      <c r="R628" s="129"/>
      <c r="S628" s="129"/>
      <c r="T628" s="269"/>
      <c r="U628" s="222"/>
    </row>
    <row r="629" spans="1:21" s="204" customFormat="1" ht="27" customHeight="1" collapsed="1">
      <c r="A629" s="274">
        <f>IF(B629&lt;&gt;"",SUBTOTAL(103,$D$7:$D629),"")</f>
        <v>301</v>
      </c>
      <c r="B629" s="220">
        <f>IF(C629&lt;&gt;"",SUBTOTAL(103,$C$591:$C629),"")</f>
        <v>19</v>
      </c>
      <c r="C629" s="221" t="s">
        <v>1459</v>
      </c>
      <c r="D629" s="47" t="s">
        <v>890</v>
      </c>
      <c r="E629" s="42" t="s">
        <v>1460</v>
      </c>
      <c r="F629" s="42" t="s">
        <v>1461</v>
      </c>
      <c r="G629" s="42" t="s">
        <v>346</v>
      </c>
      <c r="H629" s="42" t="s">
        <v>83</v>
      </c>
      <c r="I629" s="42" t="s">
        <v>1462</v>
      </c>
      <c r="J629" s="45">
        <v>42278</v>
      </c>
      <c r="K629" s="128">
        <v>0</v>
      </c>
      <c r="L629" s="45">
        <v>42278</v>
      </c>
      <c r="M629" s="45">
        <v>42705</v>
      </c>
      <c r="N629" s="128">
        <f t="shared" si="41"/>
        <v>15</v>
      </c>
      <c r="O629" s="129"/>
      <c r="P629" s="129">
        <f t="shared" si="40"/>
        <v>41845000</v>
      </c>
      <c r="Q629" s="129">
        <f>SUM(Q630:Q631)</f>
        <v>26595000</v>
      </c>
      <c r="R629" s="129">
        <f>8250000+7000000</f>
        <v>15250000</v>
      </c>
      <c r="S629" s="129">
        <v>0</v>
      </c>
      <c r="T629" s="269" t="s">
        <v>1463</v>
      </c>
      <c r="U629" s="240">
        <v>42642</v>
      </c>
    </row>
    <row r="630" spans="1:21" s="204" customFormat="1" ht="27" customHeight="1" hidden="1" outlineLevel="1">
      <c r="A630" s="274">
        <f>IF(B630&lt;&gt;"",SUBTOTAL(103,$D$7:$D630),"")</f>
      </c>
      <c r="B630" s="220">
        <f>IF(C630&lt;&gt;"",SUBTOTAL(103,$C$591:$C630),"")</f>
      </c>
      <c r="C630" s="221"/>
      <c r="D630" s="47"/>
      <c r="E630" s="42"/>
      <c r="F630" s="42"/>
      <c r="G630" s="42"/>
      <c r="H630" s="42"/>
      <c r="I630" s="42"/>
      <c r="J630" s="45"/>
      <c r="K630" s="128"/>
      <c r="L630" s="45">
        <v>42278</v>
      </c>
      <c r="M630" s="45">
        <v>42461</v>
      </c>
      <c r="N630" s="128">
        <f t="shared" si="41"/>
        <v>7</v>
      </c>
      <c r="O630" s="129">
        <v>1150000</v>
      </c>
      <c r="P630" s="129">
        <f t="shared" si="40"/>
        <v>12075000</v>
      </c>
      <c r="Q630" s="129">
        <f>N630*O630*1.5</f>
        <v>12075000</v>
      </c>
      <c r="R630" s="129"/>
      <c r="S630" s="129"/>
      <c r="T630" s="269"/>
      <c r="U630" s="222"/>
    </row>
    <row r="631" spans="1:21" s="204" customFormat="1" ht="27" customHeight="1" hidden="1" outlineLevel="1">
      <c r="A631" s="274">
        <f>IF(B631&lt;&gt;"",SUBTOTAL(103,$D$7:$D631),"")</f>
      </c>
      <c r="B631" s="220">
        <f>IF(C631&lt;&gt;"",SUBTOTAL(103,$C$591:$C631),"")</f>
      </c>
      <c r="C631" s="221"/>
      <c r="D631" s="47"/>
      <c r="E631" s="42"/>
      <c r="F631" s="42"/>
      <c r="G631" s="42"/>
      <c r="H631" s="42"/>
      <c r="I631" s="42"/>
      <c r="J631" s="45"/>
      <c r="K631" s="128"/>
      <c r="L631" s="45">
        <v>42491</v>
      </c>
      <c r="M631" s="45">
        <v>42705</v>
      </c>
      <c r="N631" s="128">
        <f t="shared" si="41"/>
        <v>8</v>
      </c>
      <c r="O631" s="129">
        <v>1210000</v>
      </c>
      <c r="P631" s="129">
        <f t="shared" si="40"/>
        <v>14520000</v>
      </c>
      <c r="Q631" s="129">
        <f>N631*O631*1.5</f>
        <v>14520000</v>
      </c>
      <c r="R631" s="129"/>
      <c r="S631" s="129"/>
      <c r="T631" s="269"/>
      <c r="U631" s="222"/>
    </row>
    <row r="632" spans="1:21" s="204" customFormat="1" ht="27" customHeight="1" collapsed="1">
      <c r="A632" s="274">
        <f>IF(B632&lt;&gt;"",SUBTOTAL(103,$D$7:$D632),"")</f>
        <v>302</v>
      </c>
      <c r="B632" s="220">
        <f>IF(C632&lt;&gt;"",SUBTOTAL(103,$C$591:$C632),"")</f>
        <v>20</v>
      </c>
      <c r="C632" s="221" t="s">
        <v>1464</v>
      </c>
      <c r="D632" s="47" t="s">
        <v>1465</v>
      </c>
      <c r="E632" s="42" t="s">
        <v>1460</v>
      </c>
      <c r="F632" s="42" t="s">
        <v>1466</v>
      </c>
      <c r="G632" s="42" t="s">
        <v>346</v>
      </c>
      <c r="H632" s="42" t="s">
        <v>83</v>
      </c>
      <c r="I632" s="42" t="s">
        <v>1462</v>
      </c>
      <c r="J632" s="45">
        <v>42278</v>
      </c>
      <c r="K632" s="128">
        <v>0</v>
      </c>
      <c r="L632" s="45">
        <v>42278</v>
      </c>
      <c r="M632" s="45">
        <v>42705</v>
      </c>
      <c r="N632" s="128">
        <f t="shared" si="41"/>
        <v>15</v>
      </c>
      <c r="O632" s="129"/>
      <c r="P632" s="129">
        <f t="shared" si="40"/>
        <v>55790000</v>
      </c>
      <c r="Q632" s="129">
        <f>SUM(Q633:Q634)</f>
        <v>26595000</v>
      </c>
      <c r="R632" s="129">
        <f>7125000+7620000+6750000+7700000</f>
        <v>29195000</v>
      </c>
      <c r="S632" s="129">
        <v>0</v>
      </c>
      <c r="T632" s="269" t="s">
        <v>2115</v>
      </c>
      <c r="U632" s="240">
        <v>42642</v>
      </c>
    </row>
    <row r="633" spans="1:21" s="204" customFormat="1" ht="27" customHeight="1" hidden="1" outlineLevel="1">
      <c r="A633" s="274">
        <f>IF(B633&lt;&gt;"",SUBTOTAL(103,$D$7:$D633),"")</f>
      </c>
      <c r="B633" s="220">
        <f>IF(C633&lt;&gt;"",SUBTOTAL(103,$C$591:$C633),"")</f>
      </c>
      <c r="C633" s="221"/>
      <c r="D633" s="47"/>
      <c r="E633" s="42"/>
      <c r="F633" s="42"/>
      <c r="G633" s="42"/>
      <c r="H633" s="42"/>
      <c r="I633" s="42"/>
      <c r="J633" s="45"/>
      <c r="K633" s="128"/>
      <c r="L633" s="45">
        <v>42278</v>
      </c>
      <c r="M633" s="45">
        <v>42461</v>
      </c>
      <c r="N633" s="128">
        <f t="shared" si="41"/>
        <v>7</v>
      </c>
      <c r="O633" s="129">
        <v>1150000</v>
      </c>
      <c r="P633" s="129">
        <f t="shared" si="40"/>
        <v>12075000</v>
      </c>
      <c r="Q633" s="129">
        <f>N633*O633*1.5</f>
        <v>12075000</v>
      </c>
      <c r="R633" s="129"/>
      <c r="S633" s="129"/>
      <c r="T633" s="269"/>
      <c r="U633" s="222"/>
    </row>
    <row r="634" spans="1:21" s="204" customFormat="1" ht="27" customHeight="1" hidden="1" outlineLevel="1">
      <c r="A634" s="274">
        <f>IF(B634&lt;&gt;"",SUBTOTAL(103,$D$7:$D634),"")</f>
      </c>
      <c r="B634" s="220">
        <f>IF(C634&lt;&gt;"",SUBTOTAL(103,$C$591:$C634),"")</f>
      </c>
      <c r="C634" s="221"/>
      <c r="D634" s="47"/>
      <c r="E634" s="42"/>
      <c r="F634" s="42"/>
      <c r="G634" s="42"/>
      <c r="H634" s="42"/>
      <c r="I634" s="42"/>
      <c r="J634" s="45"/>
      <c r="K634" s="128"/>
      <c r="L634" s="45">
        <v>42491</v>
      </c>
      <c r="M634" s="45">
        <v>42705</v>
      </c>
      <c r="N634" s="128">
        <f t="shared" si="41"/>
        <v>8</v>
      </c>
      <c r="O634" s="129">
        <v>1210000</v>
      </c>
      <c r="P634" s="129">
        <f t="shared" si="40"/>
        <v>14520000</v>
      </c>
      <c r="Q634" s="129">
        <f>N634*O634*1.5</f>
        <v>14520000</v>
      </c>
      <c r="R634" s="129"/>
      <c r="S634" s="129"/>
      <c r="T634" s="269"/>
      <c r="U634" s="222"/>
    </row>
    <row r="635" spans="1:21" s="204" customFormat="1" ht="27" customHeight="1" collapsed="1">
      <c r="A635" s="274">
        <f>IF(B635&lt;&gt;"",SUBTOTAL(103,$D$7:$D635),"")</f>
        <v>303</v>
      </c>
      <c r="B635" s="220">
        <f>IF(C635&lt;&gt;"",SUBTOTAL(103,$C$591:$C635),"")</f>
        <v>21</v>
      </c>
      <c r="C635" s="221" t="s">
        <v>1467</v>
      </c>
      <c r="D635" s="47" t="s">
        <v>1468</v>
      </c>
      <c r="E635" s="42" t="s">
        <v>1052</v>
      </c>
      <c r="F635" s="42" t="s">
        <v>1469</v>
      </c>
      <c r="G635" s="42" t="s">
        <v>346</v>
      </c>
      <c r="H635" s="42" t="s">
        <v>1470</v>
      </c>
      <c r="I635" s="42" t="s">
        <v>1471</v>
      </c>
      <c r="J635" s="45">
        <v>42583</v>
      </c>
      <c r="K635" s="128">
        <v>0</v>
      </c>
      <c r="L635" s="45">
        <v>42583</v>
      </c>
      <c r="M635" s="45">
        <v>42705</v>
      </c>
      <c r="N635" s="128">
        <f t="shared" si="41"/>
        <v>5</v>
      </c>
      <c r="O635" s="129">
        <v>1210000</v>
      </c>
      <c r="P635" s="129">
        <f t="shared" si="40"/>
        <v>27575000</v>
      </c>
      <c r="Q635" s="129">
        <f>N635*O635*1.5</f>
        <v>9075000</v>
      </c>
      <c r="R635" s="129">
        <f>16000000+2500000</f>
        <v>18500000</v>
      </c>
      <c r="S635" s="129">
        <v>0</v>
      </c>
      <c r="T635" s="259" t="s">
        <v>1472</v>
      </c>
      <c r="U635" s="240">
        <v>42642</v>
      </c>
    </row>
    <row r="636" spans="1:21" s="204" customFormat="1" ht="27" customHeight="1">
      <c r="A636" s="274">
        <f>IF(B636&lt;&gt;"",SUBTOTAL(103,$D$7:$D636),"")</f>
        <v>304</v>
      </c>
      <c r="B636" s="220">
        <f>IF(C636&lt;&gt;"",SUBTOTAL(103,$C$591:$C636),"")</f>
        <v>22</v>
      </c>
      <c r="C636" s="221" t="s">
        <v>1473</v>
      </c>
      <c r="D636" s="47" t="s">
        <v>1474</v>
      </c>
      <c r="E636" s="42" t="s">
        <v>1475</v>
      </c>
      <c r="F636" s="42" t="s">
        <v>1476</v>
      </c>
      <c r="G636" s="42" t="s">
        <v>346</v>
      </c>
      <c r="H636" s="42" t="s">
        <v>1477</v>
      </c>
      <c r="I636" s="42" t="s">
        <v>1478</v>
      </c>
      <c r="J636" s="45">
        <v>42278</v>
      </c>
      <c r="K636" s="128">
        <v>0</v>
      </c>
      <c r="L636" s="45">
        <v>42278</v>
      </c>
      <c r="M636" s="45">
        <v>42705</v>
      </c>
      <c r="N636" s="128">
        <f t="shared" si="41"/>
        <v>15</v>
      </c>
      <c r="O636" s="129"/>
      <c r="P636" s="129">
        <f t="shared" si="40"/>
        <v>44095000</v>
      </c>
      <c r="Q636" s="129">
        <f>SUM(Q637:Q638)</f>
        <v>26595000</v>
      </c>
      <c r="R636" s="129">
        <f>15000000+2500000</f>
        <v>17500000</v>
      </c>
      <c r="S636" s="129">
        <v>0</v>
      </c>
      <c r="T636" s="259" t="s">
        <v>1479</v>
      </c>
      <c r="U636" s="240">
        <v>42642</v>
      </c>
    </row>
    <row r="637" spans="1:21" s="204" customFormat="1" ht="27" customHeight="1" hidden="1" outlineLevel="1">
      <c r="A637" s="274">
        <f>IF(B637&lt;&gt;"",SUBTOTAL(103,$D$7:$D637),"")</f>
      </c>
      <c r="B637" s="220">
        <f>IF(C637&lt;&gt;"",SUBTOTAL(103,$C$591:$C637),"")</f>
      </c>
      <c r="C637" s="221"/>
      <c r="D637" s="47"/>
      <c r="E637" s="42"/>
      <c r="F637" s="42"/>
      <c r="G637" s="42"/>
      <c r="H637" s="42"/>
      <c r="I637" s="42"/>
      <c r="J637" s="45"/>
      <c r="K637" s="128"/>
      <c r="L637" s="45">
        <v>42278</v>
      </c>
      <c r="M637" s="45">
        <v>42461</v>
      </c>
      <c r="N637" s="128">
        <f t="shared" si="41"/>
        <v>7</v>
      </c>
      <c r="O637" s="129">
        <v>1150000</v>
      </c>
      <c r="P637" s="129">
        <f t="shared" si="40"/>
        <v>12075000</v>
      </c>
      <c r="Q637" s="129">
        <f>N637*O637*1.5</f>
        <v>12075000</v>
      </c>
      <c r="R637" s="129"/>
      <c r="S637" s="129"/>
      <c r="T637" s="269"/>
      <c r="U637" s="222"/>
    </row>
    <row r="638" spans="1:21" s="204" customFormat="1" ht="27" customHeight="1" hidden="1" outlineLevel="1">
      <c r="A638" s="274">
        <f>IF(B638&lt;&gt;"",SUBTOTAL(103,$D$7:$D638),"")</f>
      </c>
      <c r="B638" s="220">
        <f>IF(C638&lt;&gt;"",SUBTOTAL(103,$C$591:$C638),"")</f>
      </c>
      <c r="C638" s="221"/>
      <c r="D638" s="47"/>
      <c r="E638" s="42"/>
      <c r="F638" s="42"/>
      <c r="G638" s="42"/>
      <c r="H638" s="42"/>
      <c r="I638" s="42"/>
      <c r="J638" s="45"/>
      <c r="K638" s="128"/>
      <c r="L638" s="45">
        <v>42491</v>
      </c>
      <c r="M638" s="45">
        <v>42705</v>
      </c>
      <c r="N638" s="128">
        <f t="shared" si="41"/>
        <v>8</v>
      </c>
      <c r="O638" s="129">
        <v>1210000</v>
      </c>
      <c r="P638" s="129">
        <f t="shared" si="40"/>
        <v>14520000</v>
      </c>
      <c r="Q638" s="129">
        <f>N638*O638*1.5</f>
        <v>14520000</v>
      </c>
      <c r="R638" s="129"/>
      <c r="S638" s="129"/>
      <c r="T638" s="269"/>
      <c r="U638" s="222"/>
    </row>
    <row r="639" spans="1:21" s="204" customFormat="1" ht="33.75" collapsed="1">
      <c r="A639" s="274">
        <f>IF(B639&lt;&gt;"",SUBTOTAL(103,$D$7:$D639),"")</f>
        <v>305</v>
      </c>
      <c r="B639" s="220">
        <f>IF(C639&lt;&gt;"",SUBTOTAL(103,$C$591:$C639),"")</f>
        <v>23</v>
      </c>
      <c r="C639" s="221" t="s">
        <v>624</v>
      </c>
      <c r="D639" s="47" t="s">
        <v>746</v>
      </c>
      <c r="E639" s="42" t="s">
        <v>1068</v>
      </c>
      <c r="F639" s="42" t="s">
        <v>747</v>
      </c>
      <c r="G639" s="42" t="s">
        <v>346</v>
      </c>
      <c r="H639" s="42" t="s">
        <v>764</v>
      </c>
      <c r="I639" s="42" t="s">
        <v>1071</v>
      </c>
      <c r="J639" s="45">
        <v>41913</v>
      </c>
      <c r="K639" s="128">
        <v>15</v>
      </c>
      <c r="L639" s="45">
        <v>42370</v>
      </c>
      <c r="M639" s="45">
        <v>42491</v>
      </c>
      <c r="N639" s="128">
        <f t="shared" si="41"/>
        <v>5</v>
      </c>
      <c r="O639" s="129">
        <v>1150000</v>
      </c>
      <c r="P639" s="129">
        <f t="shared" si="40"/>
        <v>22412500</v>
      </c>
      <c r="Q639" s="129">
        <f>N639*O639*1.5</f>
        <v>8625000</v>
      </c>
      <c r="R639" s="129">
        <f>11287500+2500000</f>
        <v>13787500</v>
      </c>
      <c r="S639" s="129">
        <v>0</v>
      </c>
      <c r="T639" s="259" t="s">
        <v>1480</v>
      </c>
      <c r="U639" s="240">
        <v>42642</v>
      </c>
    </row>
    <row r="640" spans="1:21" s="273" customFormat="1" ht="27" customHeight="1">
      <c r="A640" s="274">
        <f>IF(B640&lt;&gt;"",SUBTOTAL(103,$D$7:$D640),"")</f>
      </c>
      <c r="B640" s="213"/>
      <c r="C640" s="214" t="s">
        <v>708</v>
      </c>
      <c r="D640" s="218"/>
      <c r="E640" s="7"/>
      <c r="F640" s="7"/>
      <c r="G640" s="7"/>
      <c r="H640" s="7"/>
      <c r="I640" s="7"/>
      <c r="J640" s="136"/>
      <c r="K640" s="20"/>
      <c r="L640" s="21"/>
      <c r="M640" s="21"/>
      <c r="N640" s="22"/>
      <c r="O640" s="11"/>
      <c r="P640" s="12">
        <f>SUBTOTAL(109,P641:P684)</f>
        <v>953954000</v>
      </c>
      <c r="Q640" s="12">
        <f>SUBTOTAL(109,Q641:Q684)</f>
        <v>158130000</v>
      </c>
      <c r="R640" s="12">
        <f>SUBTOTAL(109,R641:R684)</f>
        <v>233024000</v>
      </c>
      <c r="S640" s="12">
        <f>SUBTOTAL(109,S641:S684)</f>
        <v>562800000</v>
      </c>
      <c r="T640" s="262"/>
      <c r="U640" s="216"/>
    </row>
    <row r="641" spans="1:21" s="204" customFormat="1" ht="27" customHeight="1">
      <c r="A641" s="274">
        <f>IF(B641&lt;&gt;"",SUBTOTAL(103,$D$7:$D641),"")</f>
        <v>306</v>
      </c>
      <c r="B641" s="220">
        <f>IF(C641&lt;&gt;"",SUBTOTAL(103,$C$641:$C641),"")</f>
        <v>1</v>
      </c>
      <c r="C641" s="245" t="s">
        <v>404</v>
      </c>
      <c r="D641" s="47" t="s">
        <v>405</v>
      </c>
      <c r="E641" s="42" t="s">
        <v>406</v>
      </c>
      <c r="F641" s="42" t="s">
        <v>407</v>
      </c>
      <c r="G641" s="42" t="s">
        <v>346</v>
      </c>
      <c r="H641" s="42" t="s">
        <v>206</v>
      </c>
      <c r="I641" s="42" t="s">
        <v>1145</v>
      </c>
      <c r="J641" s="45">
        <v>41395</v>
      </c>
      <c r="K641" s="128">
        <v>20</v>
      </c>
      <c r="L641" s="362" t="s">
        <v>46</v>
      </c>
      <c r="M641" s="363"/>
      <c r="N641" s="101">
        <v>0</v>
      </c>
      <c r="O641" s="129">
        <v>1150000</v>
      </c>
      <c r="P641" s="129">
        <f aca="true" t="shared" si="42" ref="P641:P682">Q641+R641+S641</f>
        <v>34500000</v>
      </c>
      <c r="Q641" s="129">
        <f>N641*O641*1.5</f>
        <v>0</v>
      </c>
      <c r="R641" s="129">
        <v>0</v>
      </c>
      <c r="S641" s="129">
        <f>30*O641</f>
        <v>34500000</v>
      </c>
      <c r="T641" s="260" t="s">
        <v>2116</v>
      </c>
      <c r="U641" s="240">
        <v>42655</v>
      </c>
    </row>
    <row r="642" spans="1:21" s="204" customFormat="1" ht="27" customHeight="1">
      <c r="A642" s="274">
        <f>IF(B642&lt;&gt;"",SUBTOTAL(103,$D$7:$D642),"")</f>
        <v>307</v>
      </c>
      <c r="B642" s="220">
        <f>IF(C642&lt;&gt;"",SUBTOTAL(103,$C$641:$C642),"")</f>
        <v>2</v>
      </c>
      <c r="C642" s="245" t="s">
        <v>1537</v>
      </c>
      <c r="D642" s="47" t="s">
        <v>1538</v>
      </c>
      <c r="E642" s="42" t="s">
        <v>2162</v>
      </c>
      <c r="F642" s="42" t="s">
        <v>1539</v>
      </c>
      <c r="G642" s="42" t="s">
        <v>346</v>
      </c>
      <c r="H642" s="42" t="s">
        <v>1540</v>
      </c>
      <c r="I642" s="42" t="s">
        <v>252</v>
      </c>
      <c r="J642" s="45">
        <v>42278</v>
      </c>
      <c r="K642" s="128">
        <v>0</v>
      </c>
      <c r="L642" s="45">
        <v>42370</v>
      </c>
      <c r="M642" s="45">
        <v>42705</v>
      </c>
      <c r="N642" s="128">
        <f>DATEDIF(L642,M642,"m")+1</f>
        <v>12</v>
      </c>
      <c r="O642" s="129"/>
      <c r="P642" s="129">
        <f>SUM(Q642:S642)</f>
        <v>40620000</v>
      </c>
      <c r="Q642" s="129">
        <f>SUM(Q643:Q644)</f>
        <v>21420000</v>
      </c>
      <c r="R642" s="129">
        <f>10000000+9200000</f>
        <v>19200000</v>
      </c>
      <c r="S642" s="129">
        <v>0</v>
      </c>
      <c r="T642" s="260" t="s">
        <v>2117</v>
      </c>
      <c r="U642" s="240">
        <v>42655</v>
      </c>
    </row>
    <row r="643" spans="1:21" s="204" customFormat="1" ht="27" customHeight="1" hidden="1" outlineLevel="1">
      <c r="A643" s="274">
        <f>IF(B643&lt;&gt;"",SUBTOTAL(103,$D$7:$D643),"")</f>
      </c>
      <c r="B643" s="220">
        <f>IF(C643&lt;&gt;"",SUBTOTAL(103,$C$641:$C643),"")</f>
      </c>
      <c r="C643" s="245"/>
      <c r="D643" s="47"/>
      <c r="E643" s="42"/>
      <c r="F643" s="42"/>
      <c r="G643" s="42"/>
      <c r="H643" s="42"/>
      <c r="I643" s="42"/>
      <c r="J643" s="45"/>
      <c r="K643" s="128"/>
      <c r="L643" s="45">
        <v>42370</v>
      </c>
      <c r="M643" s="45">
        <v>42461</v>
      </c>
      <c r="N643" s="128">
        <f>DATEDIF(L643,M643,"m")+1</f>
        <v>4</v>
      </c>
      <c r="O643" s="129">
        <v>1150000</v>
      </c>
      <c r="P643" s="129">
        <f>Q643+R643+S643</f>
        <v>6900000</v>
      </c>
      <c r="Q643" s="129">
        <f>N643*O643*1.5</f>
        <v>6900000</v>
      </c>
      <c r="R643" s="129"/>
      <c r="S643" s="129"/>
      <c r="T643" s="269"/>
      <c r="U643" s="240"/>
    </row>
    <row r="644" spans="1:21" s="204" customFormat="1" ht="27" customHeight="1" hidden="1" outlineLevel="1">
      <c r="A644" s="274">
        <f>IF(B644&lt;&gt;"",SUBTOTAL(103,$D$7:$D644),"")</f>
      </c>
      <c r="B644" s="220">
        <f>IF(C644&lt;&gt;"",SUBTOTAL(103,$C$641:$C644),"")</f>
      </c>
      <c r="C644" s="245"/>
      <c r="D644" s="47"/>
      <c r="E644" s="42"/>
      <c r="F644" s="42"/>
      <c r="G644" s="42"/>
      <c r="H644" s="42"/>
      <c r="I644" s="42"/>
      <c r="J644" s="45"/>
      <c r="K644" s="128"/>
      <c r="L644" s="45">
        <v>42491</v>
      </c>
      <c r="M644" s="45">
        <v>42705</v>
      </c>
      <c r="N644" s="128">
        <f>DATEDIF(L644,M644,"m")+1</f>
        <v>8</v>
      </c>
      <c r="O644" s="129">
        <v>1210000</v>
      </c>
      <c r="P644" s="129">
        <f>Q644+R644+S644</f>
        <v>14520000</v>
      </c>
      <c r="Q644" s="129">
        <f>N644*O644*1.5</f>
        <v>14520000</v>
      </c>
      <c r="R644" s="129"/>
      <c r="S644" s="129"/>
      <c r="T644" s="269"/>
      <c r="U644" s="240"/>
    </row>
    <row r="645" spans="1:21" s="204" customFormat="1" ht="27" customHeight="1" collapsed="1">
      <c r="A645" s="274">
        <f>IF(B645&lt;&gt;"",SUBTOTAL(103,$D$7:$D645),"")</f>
        <v>308</v>
      </c>
      <c r="B645" s="220">
        <f>IF(C645&lt;&gt;"",SUBTOTAL(103,$C$641:$C645),"")</f>
        <v>3</v>
      </c>
      <c r="C645" s="245" t="s">
        <v>838</v>
      </c>
      <c r="D645" s="47" t="s">
        <v>839</v>
      </c>
      <c r="E645" s="42" t="s">
        <v>840</v>
      </c>
      <c r="F645" s="42" t="s">
        <v>841</v>
      </c>
      <c r="G645" s="42" t="s">
        <v>346</v>
      </c>
      <c r="H645" s="42" t="s">
        <v>50</v>
      </c>
      <c r="I645" s="42" t="s">
        <v>1545</v>
      </c>
      <c r="J645" s="45">
        <v>41609</v>
      </c>
      <c r="K645" s="128">
        <v>16</v>
      </c>
      <c r="L645" s="45">
        <v>42370</v>
      </c>
      <c r="M645" s="45">
        <v>42461</v>
      </c>
      <c r="N645" s="128">
        <f>DATEDIF(L645,M645,"m")+1</f>
        <v>4</v>
      </c>
      <c r="O645" s="129">
        <v>1150000</v>
      </c>
      <c r="P645" s="129">
        <f t="shared" si="42"/>
        <v>41400000</v>
      </c>
      <c r="Q645" s="129">
        <f>N645*O645*1.5</f>
        <v>6900000</v>
      </c>
      <c r="R645" s="129">
        <v>0</v>
      </c>
      <c r="S645" s="129">
        <f>30*O645</f>
        <v>34500000</v>
      </c>
      <c r="T645" s="256" t="s">
        <v>2116</v>
      </c>
      <c r="U645" s="240">
        <v>42656</v>
      </c>
    </row>
    <row r="646" spans="1:21" s="204" customFormat="1" ht="27" customHeight="1">
      <c r="A646" s="274">
        <f>IF(B646&lt;&gt;"",SUBTOTAL(103,$D$7:$D646),"")</f>
        <v>309</v>
      </c>
      <c r="B646" s="220">
        <f>IF(C646&lt;&gt;"",SUBTOTAL(103,$C$641:$C646),"")</f>
        <v>4</v>
      </c>
      <c r="C646" s="245" t="s">
        <v>1546</v>
      </c>
      <c r="D646" s="47" t="s">
        <v>1015</v>
      </c>
      <c r="E646" s="42" t="s">
        <v>1547</v>
      </c>
      <c r="F646" s="42" t="s">
        <v>1548</v>
      </c>
      <c r="G646" s="42" t="s">
        <v>346</v>
      </c>
      <c r="H646" s="42" t="s">
        <v>215</v>
      </c>
      <c r="I646" s="42" t="s">
        <v>1549</v>
      </c>
      <c r="J646" s="45">
        <v>42278</v>
      </c>
      <c r="K646" s="128">
        <v>0</v>
      </c>
      <c r="L646" s="45">
        <v>42278</v>
      </c>
      <c r="M646" s="45">
        <v>42705</v>
      </c>
      <c r="N646" s="128">
        <f aca="true" t="shared" si="43" ref="N646:N653">DATEDIF(L646,M646,"m")+1</f>
        <v>15</v>
      </c>
      <c r="O646" s="129"/>
      <c r="P646" s="129">
        <f>SUM(Q646:S646)</f>
        <v>50445000</v>
      </c>
      <c r="Q646" s="129">
        <f>SUM(Q647:Q648)</f>
        <v>26595000</v>
      </c>
      <c r="R646" s="129">
        <f>7550000+6150000+2000000+6150000+2000000</f>
        <v>23850000</v>
      </c>
      <c r="S646" s="129">
        <v>0</v>
      </c>
      <c r="T646" s="256" t="s">
        <v>1550</v>
      </c>
      <c r="U646" s="240">
        <v>42655</v>
      </c>
    </row>
    <row r="647" spans="1:21" s="204" customFormat="1" ht="27" customHeight="1" hidden="1" outlineLevel="1">
      <c r="A647" s="274">
        <f>IF(B647&lt;&gt;"",SUBTOTAL(103,$D$7:$D647),"")</f>
      </c>
      <c r="B647" s="220">
        <f>IF(C647&lt;&gt;"",SUBTOTAL(103,$C$641:$C647),"")</f>
      </c>
      <c r="C647" s="245"/>
      <c r="D647" s="47"/>
      <c r="E647" s="42"/>
      <c r="F647" s="42"/>
      <c r="G647" s="42"/>
      <c r="H647" s="42"/>
      <c r="I647" s="42"/>
      <c r="J647" s="45"/>
      <c r="K647" s="128"/>
      <c r="L647" s="45">
        <v>42278</v>
      </c>
      <c r="M647" s="45">
        <v>42461</v>
      </c>
      <c r="N647" s="128">
        <f t="shared" si="43"/>
        <v>7</v>
      </c>
      <c r="O647" s="129">
        <v>1150000</v>
      </c>
      <c r="P647" s="129">
        <f>Q647+R647+S647</f>
        <v>12075000</v>
      </c>
      <c r="Q647" s="129">
        <f>N647*O647*1.5</f>
        <v>12075000</v>
      </c>
      <c r="R647" s="129"/>
      <c r="S647" s="129"/>
      <c r="T647" s="256"/>
      <c r="U647" s="222"/>
    </row>
    <row r="648" spans="1:21" s="204" customFormat="1" ht="27" customHeight="1" hidden="1" outlineLevel="1">
      <c r="A648" s="274">
        <f>IF(B648&lt;&gt;"",SUBTOTAL(103,$D$7:$D648),"")</f>
      </c>
      <c r="B648" s="220">
        <f>IF(C648&lt;&gt;"",SUBTOTAL(103,$C$641:$C648),"")</f>
      </c>
      <c r="C648" s="245"/>
      <c r="D648" s="47"/>
      <c r="E648" s="42"/>
      <c r="F648" s="42"/>
      <c r="G648" s="42"/>
      <c r="H648" s="42"/>
      <c r="I648" s="42"/>
      <c r="J648" s="45"/>
      <c r="K648" s="128"/>
      <c r="L648" s="45">
        <v>42491</v>
      </c>
      <c r="M648" s="45">
        <v>42705</v>
      </c>
      <c r="N648" s="128">
        <f t="shared" si="43"/>
        <v>8</v>
      </c>
      <c r="O648" s="129">
        <v>1210000</v>
      </c>
      <c r="P648" s="129">
        <f>Q648+R648+S648</f>
        <v>14520000</v>
      </c>
      <c r="Q648" s="129">
        <f>N648*O648*1.5</f>
        <v>14520000</v>
      </c>
      <c r="R648" s="129"/>
      <c r="S648" s="129"/>
      <c r="T648" s="256"/>
      <c r="U648" s="222"/>
    </row>
    <row r="649" spans="1:21" s="204" customFormat="1" ht="27" customHeight="1" collapsed="1">
      <c r="A649" s="274">
        <f>IF(B649&lt;&gt;"",SUBTOTAL(103,$D$7:$D649),"")</f>
        <v>310</v>
      </c>
      <c r="B649" s="220">
        <f>IF(C649&lt;&gt;"",SUBTOTAL(103,$C$641:$C649),"")</f>
        <v>5</v>
      </c>
      <c r="C649" s="245" t="s">
        <v>1542</v>
      </c>
      <c r="D649" s="47" t="s">
        <v>1543</v>
      </c>
      <c r="E649" s="42" t="s">
        <v>243</v>
      </c>
      <c r="F649" s="42" t="s">
        <v>1544</v>
      </c>
      <c r="G649" s="42" t="s">
        <v>346</v>
      </c>
      <c r="H649" s="42" t="s">
        <v>243</v>
      </c>
      <c r="I649" s="42" t="s">
        <v>1545</v>
      </c>
      <c r="J649" s="45">
        <v>42278</v>
      </c>
      <c r="K649" s="128">
        <v>0</v>
      </c>
      <c r="L649" s="45">
        <v>42278</v>
      </c>
      <c r="M649" s="45">
        <v>42705</v>
      </c>
      <c r="N649" s="128">
        <f t="shared" si="43"/>
        <v>15</v>
      </c>
      <c r="O649" s="129"/>
      <c r="P649" s="129">
        <f>SUM(Q649:S649)</f>
        <v>50054000</v>
      </c>
      <c r="Q649" s="129">
        <f>SUM(Q650:Q651)</f>
        <v>26595000</v>
      </c>
      <c r="R649" s="129">
        <f>10738000+12721000</f>
        <v>23459000</v>
      </c>
      <c r="S649" s="129">
        <v>0</v>
      </c>
      <c r="T649" s="256" t="s">
        <v>2118</v>
      </c>
      <c r="U649" s="240">
        <v>42655</v>
      </c>
    </row>
    <row r="650" spans="1:21" s="204" customFormat="1" ht="27" customHeight="1" hidden="1" outlineLevel="1">
      <c r="A650" s="274">
        <f>IF(B650&lt;&gt;"",SUBTOTAL(103,$D$7:$D650),"")</f>
      </c>
      <c r="B650" s="220">
        <f>IF(C650&lt;&gt;"",SUBTOTAL(103,$C$641:$C650),"")</f>
      </c>
      <c r="C650" s="245"/>
      <c r="D650" s="47"/>
      <c r="E650" s="42"/>
      <c r="F650" s="42"/>
      <c r="G650" s="42"/>
      <c r="H650" s="42"/>
      <c r="I650" s="42"/>
      <c r="J650" s="45"/>
      <c r="K650" s="128"/>
      <c r="L650" s="45">
        <v>42278</v>
      </c>
      <c r="M650" s="45">
        <v>42461</v>
      </c>
      <c r="N650" s="128">
        <f t="shared" si="43"/>
        <v>7</v>
      </c>
      <c r="O650" s="129">
        <v>1150000</v>
      </c>
      <c r="P650" s="129">
        <f>Q650+R650+S650</f>
        <v>12075000</v>
      </c>
      <c r="Q650" s="129">
        <f aca="true" t="shared" si="44" ref="Q650:Q659">N650*O650*1.5</f>
        <v>12075000</v>
      </c>
      <c r="R650" s="129"/>
      <c r="S650" s="129"/>
      <c r="T650" s="256"/>
      <c r="U650" s="222"/>
    </row>
    <row r="651" spans="1:21" s="204" customFormat="1" ht="27" customHeight="1" hidden="1" outlineLevel="1">
      <c r="A651" s="274">
        <f>IF(B651&lt;&gt;"",SUBTOTAL(103,$D$7:$D651),"")</f>
      </c>
      <c r="B651" s="220">
        <f>IF(C651&lt;&gt;"",SUBTOTAL(103,$C$641:$C651),"")</f>
      </c>
      <c r="C651" s="245"/>
      <c r="D651" s="47"/>
      <c r="E651" s="42"/>
      <c r="F651" s="42"/>
      <c r="G651" s="42"/>
      <c r="H651" s="42"/>
      <c r="I651" s="42"/>
      <c r="J651" s="45"/>
      <c r="K651" s="128"/>
      <c r="L651" s="45">
        <v>42491</v>
      </c>
      <c r="M651" s="45">
        <v>42705</v>
      </c>
      <c r="N651" s="128">
        <f t="shared" si="43"/>
        <v>8</v>
      </c>
      <c r="O651" s="129">
        <v>1210000</v>
      </c>
      <c r="P651" s="129">
        <f>Q651+R651+S651</f>
        <v>14520000</v>
      </c>
      <c r="Q651" s="129">
        <f t="shared" si="44"/>
        <v>14520000</v>
      </c>
      <c r="R651" s="129"/>
      <c r="S651" s="129"/>
      <c r="T651" s="256"/>
      <c r="U651" s="222"/>
    </row>
    <row r="652" spans="1:21" s="204" customFormat="1" ht="27" customHeight="1" collapsed="1">
      <c r="A652" s="274">
        <f>IF(B652&lt;&gt;"",SUBTOTAL(103,$D$7:$D652),"")</f>
        <v>311</v>
      </c>
      <c r="B652" s="220">
        <f>IF(C652&lt;&gt;"",SUBTOTAL(103,$C$641:$C652),"")</f>
        <v>6</v>
      </c>
      <c r="C652" s="245" t="s">
        <v>845</v>
      </c>
      <c r="D652" s="275" t="s">
        <v>846</v>
      </c>
      <c r="E652" s="43" t="s">
        <v>380</v>
      </c>
      <c r="F652" s="43" t="s">
        <v>381</v>
      </c>
      <c r="G652" s="43" t="s">
        <v>346</v>
      </c>
      <c r="H652" s="43" t="s">
        <v>382</v>
      </c>
      <c r="I652" s="43" t="s">
        <v>270</v>
      </c>
      <c r="J652" s="45">
        <v>41609</v>
      </c>
      <c r="K652" s="128">
        <v>16</v>
      </c>
      <c r="L652" s="45">
        <v>42370</v>
      </c>
      <c r="M652" s="45">
        <v>42461</v>
      </c>
      <c r="N652" s="128">
        <f t="shared" si="43"/>
        <v>4</v>
      </c>
      <c r="O652" s="129">
        <v>1150000</v>
      </c>
      <c r="P652" s="129">
        <f t="shared" si="42"/>
        <v>41400000</v>
      </c>
      <c r="Q652" s="129">
        <f t="shared" si="44"/>
        <v>6900000</v>
      </c>
      <c r="R652" s="129">
        <v>0</v>
      </c>
      <c r="S652" s="129">
        <f aca="true" t="shared" si="45" ref="S652:S663">30*O652</f>
        <v>34500000</v>
      </c>
      <c r="T652" s="257" t="s">
        <v>2119</v>
      </c>
      <c r="U652" s="241">
        <v>42655</v>
      </c>
    </row>
    <row r="653" spans="1:21" s="204" customFormat="1" ht="27" customHeight="1" collapsed="1">
      <c r="A653" s="274">
        <f>IF(B653&lt;&gt;"",SUBTOTAL(103,$D$7:$D653),"")</f>
        <v>312</v>
      </c>
      <c r="B653" s="220">
        <f>IF(C653&lt;&gt;"",SUBTOTAL(103,$C$641:$C653),"")</f>
        <v>7</v>
      </c>
      <c r="C653" s="245" t="s">
        <v>1557</v>
      </c>
      <c r="D653" s="47" t="s">
        <v>842</v>
      </c>
      <c r="E653" s="42" t="s">
        <v>384</v>
      </c>
      <c r="F653" s="42" t="s">
        <v>843</v>
      </c>
      <c r="G653" s="42" t="s">
        <v>346</v>
      </c>
      <c r="H653" s="42" t="s">
        <v>844</v>
      </c>
      <c r="I653" s="42" t="s">
        <v>1036</v>
      </c>
      <c r="J653" s="45">
        <v>41609</v>
      </c>
      <c r="K653" s="128">
        <v>16</v>
      </c>
      <c r="L653" s="45">
        <v>42370</v>
      </c>
      <c r="M653" s="45">
        <v>42461</v>
      </c>
      <c r="N653" s="128">
        <f t="shared" si="43"/>
        <v>4</v>
      </c>
      <c r="O653" s="129">
        <v>1150000</v>
      </c>
      <c r="P653" s="129">
        <f t="shared" si="42"/>
        <v>45525000</v>
      </c>
      <c r="Q653" s="129">
        <f t="shared" si="44"/>
        <v>6900000</v>
      </c>
      <c r="R653" s="129">
        <v>4125000</v>
      </c>
      <c r="S653" s="129">
        <f t="shared" si="45"/>
        <v>34500000</v>
      </c>
      <c r="T653" s="257" t="s">
        <v>2120</v>
      </c>
      <c r="U653" s="240">
        <v>42655</v>
      </c>
    </row>
    <row r="654" spans="1:21" s="204" customFormat="1" ht="27" customHeight="1" collapsed="1">
      <c r="A654" s="274">
        <f>IF(B654&lt;&gt;"",SUBTOTAL(103,$D$7:$D654),"")</f>
        <v>313</v>
      </c>
      <c r="B654" s="220">
        <f>IF(C654&lt;&gt;"",SUBTOTAL(103,$C$641:$C654),"")</f>
        <v>8</v>
      </c>
      <c r="C654" s="245" t="s">
        <v>447</v>
      </c>
      <c r="D654" s="47" t="s">
        <v>1138</v>
      </c>
      <c r="E654" s="42" t="s">
        <v>663</v>
      </c>
      <c r="F654" s="42" t="s">
        <v>1139</v>
      </c>
      <c r="G654" s="42" t="s">
        <v>346</v>
      </c>
      <c r="H654" s="42" t="s">
        <v>206</v>
      </c>
      <c r="I654" s="42" t="s">
        <v>1145</v>
      </c>
      <c r="J654" s="45">
        <v>41395</v>
      </c>
      <c r="K654" s="128">
        <v>20</v>
      </c>
      <c r="L654" s="362" t="s">
        <v>46</v>
      </c>
      <c r="M654" s="363"/>
      <c r="N654" s="101">
        <v>0</v>
      </c>
      <c r="O654" s="129">
        <v>1150000</v>
      </c>
      <c r="P654" s="129">
        <f t="shared" si="42"/>
        <v>34500000</v>
      </c>
      <c r="Q654" s="129">
        <f t="shared" si="44"/>
        <v>0</v>
      </c>
      <c r="R654" s="129">
        <v>0</v>
      </c>
      <c r="S654" s="129">
        <f t="shared" si="45"/>
        <v>34500000</v>
      </c>
      <c r="T654" s="257" t="s">
        <v>1558</v>
      </c>
      <c r="U654" s="240">
        <v>42656</v>
      </c>
    </row>
    <row r="655" spans="1:21" s="204" customFormat="1" ht="27" customHeight="1">
      <c r="A655" s="274">
        <f>IF(B655&lt;&gt;"",SUBTOTAL(103,$D$7:$D655),"")</f>
        <v>314</v>
      </c>
      <c r="B655" s="220">
        <f>IF(C655&lt;&gt;"",SUBTOTAL(103,$C$641:$C655),"")</f>
        <v>9</v>
      </c>
      <c r="C655" s="221" t="s">
        <v>176</v>
      </c>
      <c r="D655" s="47" t="s">
        <v>1112</v>
      </c>
      <c r="E655" s="42" t="s">
        <v>308</v>
      </c>
      <c r="F655" s="42" t="s">
        <v>177</v>
      </c>
      <c r="G655" s="42" t="s">
        <v>346</v>
      </c>
      <c r="H655" s="42" t="s">
        <v>701</v>
      </c>
      <c r="I655" s="42" t="s">
        <v>1545</v>
      </c>
      <c r="J655" s="45">
        <v>41760</v>
      </c>
      <c r="K655" s="128">
        <v>20</v>
      </c>
      <c r="L655" s="362" t="s">
        <v>46</v>
      </c>
      <c r="M655" s="363"/>
      <c r="N655" s="128">
        <v>0</v>
      </c>
      <c r="O655" s="129">
        <v>1210000</v>
      </c>
      <c r="P655" s="129">
        <f t="shared" si="42"/>
        <v>48971000</v>
      </c>
      <c r="Q655" s="129">
        <f t="shared" si="44"/>
        <v>0</v>
      </c>
      <c r="R655" s="129">
        <f>5768000+6903000</f>
        <v>12671000</v>
      </c>
      <c r="S655" s="129">
        <f t="shared" si="45"/>
        <v>36300000</v>
      </c>
      <c r="T655" s="257" t="s">
        <v>2121</v>
      </c>
      <c r="U655" s="240">
        <v>42655</v>
      </c>
    </row>
    <row r="656" spans="1:21" s="204" customFormat="1" ht="27" customHeight="1">
      <c r="A656" s="274">
        <f>IF(B656&lt;&gt;"",SUBTOTAL(103,$D$7:$D656),"")</f>
        <v>315</v>
      </c>
      <c r="B656" s="220">
        <f>IF(C656&lt;&gt;"",SUBTOTAL(103,$C$641:$C656),"")</f>
        <v>10</v>
      </c>
      <c r="C656" s="221" t="s">
        <v>178</v>
      </c>
      <c r="D656" s="47" t="s">
        <v>179</v>
      </c>
      <c r="E656" s="42" t="s">
        <v>180</v>
      </c>
      <c r="F656" s="42" t="s">
        <v>181</v>
      </c>
      <c r="G656" s="42" t="s">
        <v>346</v>
      </c>
      <c r="H656" s="42" t="s">
        <v>152</v>
      </c>
      <c r="I656" s="42" t="s">
        <v>1545</v>
      </c>
      <c r="J656" s="45">
        <v>41640</v>
      </c>
      <c r="K656" s="128">
        <v>20</v>
      </c>
      <c r="L656" s="362" t="s">
        <v>46</v>
      </c>
      <c r="M656" s="363"/>
      <c r="N656" s="128">
        <v>0</v>
      </c>
      <c r="O656" s="129">
        <v>1150000</v>
      </c>
      <c r="P656" s="129">
        <f t="shared" si="42"/>
        <v>38308000</v>
      </c>
      <c r="Q656" s="129">
        <f t="shared" si="44"/>
        <v>0</v>
      </c>
      <c r="R656" s="129">
        <v>3808000</v>
      </c>
      <c r="S656" s="129">
        <f t="shared" si="45"/>
        <v>34500000</v>
      </c>
      <c r="T656" s="257" t="s">
        <v>2122</v>
      </c>
      <c r="U656" s="240">
        <v>42655</v>
      </c>
    </row>
    <row r="657" spans="1:21" s="204" customFormat="1" ht="27" customHeight="1">
      <c r="A657" s="274">
        <f>IF(B657&lt;&gt;"",SUBTOTAL(103,$D$7:$D657),"")</f>
        <v>316</v>
      </c>
      <c r="B657" s="220">
        <f>IF(C657&lt;&gt;"",SUBTOTAL(103,$C$641:$C657),"")</f>
        <v>11</v>
      </c>
      <c r="C657" s="221" t="s">
        <v>186</v>
      </c>
      <c r="D657" s="47" t="s">
        <v>187</v>
      </c>
      <c r="E657" s="42" t="s">
        <v>659</v>
      </c>
      <c r="F657" s="42" t="s">
        <v>188</v>
      </c>
      <c r="G657" s="42" t="s">
        <v>346</v>
      </c>
      <c r="H657" s="42" t="s">
        <v>206</v>
      </c>
      <c r="I657" s="42" t="s">
        <v>175</v>
      </c>
      <c r="J657" s="45">
        <v>41640</v>
      </c>
      <c r="K657" s="128">
        <v>20</v>
      </c>
      <c r="L657" s="362" t="s">
        <v>46</v>
      </c>
      <c r="M657" s="363"/>
      <c r="N657" s="128">
        <v>0</v>
      </c>
      <c r="O657" s="129">
        <v>1210000</v>
      </c>
      <c r="P657" s="129">
        <f t="shared" si="42"/>
        <v>40108000</v>
      </c>
      <c r="Q657" s="129">
        <f t="shared" si="44"/>
        <v>0</v>
      </c>
      <c r="R657" s="129">
        <v>3808000</v>
      </c>
      <c r="S657" s="129">
        <f t="shared" si="45"/>
        <v>36300000</v>
      </c>
      <c r="T657" s="257" t="s">
        <v>2123</v>
      </c>
      <c r="U657" s="240">
        <v>42655</v>
      </c>
    </row>
    <row r="658" spans="1:21" s="204" customFormat="1" ht="27" customHeight="1">
      <c r="A658" s="274">
        <f>IF(B658&lt;&gt;"",SUBTOTAL(103,$D$7:$D658),"")</f>
        <v>317</v>
      </c>
      <c r="B658" s="220">
        <f>IF(C658&lt;&gt;"",SUBTOTAL(103,$C$641:$C658),"")</f>
        <v>12</v>
      </c>
      <c r="C658" s="221" t="s">
        <v>772</v>
      </c>
      <c r="D658" s="47" t="s">
        <v>189</v>
      </c>
      <c r="E658" s="42" t="s">
        <v>2163</v>
      </c>
      <c r="F658" s="42" t="s">
        <v>190</v>
      </c>
      <c r="G658" s="42" t="s">
        <v>346</v>
      </c>
      <c r="H658" s="42" t="s">
        <v>206</v>
      </c>
      <c r="I658" s="42" t="s">
        <v>191</v>
      </c>
      <c r="J658" s="45">
        <v>41671</v>
      </c>
      <c r="K658" s="128">
        <v>20</v>
      </c>
      <c r="L658" s="362" t="s">
        <v>46</v>
      </c>
      <c r="M658" s="363"/>
      <c r="N658" s="128">
        <v>0</v>
      </c>
      <c r="O658" s="129">
        <v>1150000</v>
      </c>
      <c r="P658" s="129">
        <f t="shared" si="42"/>
        <v>38625000</v>
      </c>
      <c r="Q658" s="129">
        <f t="shared" si="44"/>
        <v>0</v>
      </c>
      <c r="R658" s="129">
        <v>4125000</v>
      </c>
      <c r="S658" s="129">
        <f t="shared" si="45"/>
        <v>34500000</v>
      </c>
      <c r="T658" s="257" t="s">
        <v>2082</v>
      </c>
      <c r="U658" s="240">
        <v>42655</v>
      </c>
    </row>
    <row r="659" spans="1:21" s="204" customFormat="1" ht="27" customHeight="1">
      <c r="A659" s="274">
        <f>IF(B659&lt;&gt;"",SUBTOTAL(103,$D$7:$D659),"")</f>
        <v>318</v>
      </c>
      <c r="B659" s="220">
        <f>IF(C659&lt;&gt;"",SUBTOTAL(103,$C$641:$C659),"")</f>
        <v>13</v>
      </c>
      <c r="C659" s="221" t="s">
        <v>1116</v>
      </c>
      <c r="D659" s="47" t="s">
        <v>192</v>
      </c>
      <c r="E659" s="42" t="s">
        <v>2163</v>
      </c>
      <c r="F659" s="42" t="s">
        <v>193</v>
      </c>
      <c r="G659" s="42" t="s">
        <v>346</v>
      </c>
      <c r="H659" s="42" t="s">
        <v>194</v>
      </c>
      <c r="I659" s="42" t="s">
        <v>164</v>
      </c>
      <c r="J659" s="45">
        <v>41640</v>
      </c>
      <c r="K659" s="128">
        <v>20</v>
      </c>
      <c r="L659" s="362" t="s">
        <v>46</v>
      </c>
      <c r="M659" s="363"/>
      <c r="N659" s="128">
        <v>0</v>
      </c>
      <c r="O659" s="129">
        <v>1150000</v>
      </c>
      <c r="P659" s="129">
        <f t="shared" si="42"/>
        <v>34500000</v>
      </c>
      <c r="Q659" s="129">
        <f t="shared" si="44"/>
        <v>0</v>
      </c>
      <c r="R659" s="129">
        <v>0</v>
      </c>
      <c r="S659" s="129">
        <f t="shared" si="45"/>
        <v>34500000</v>
      </c>
      <c r="T659" s="257" t="s">
        <v>2124</v>
      </c>
      <c r="U659" s="240">
        <v>42655</v>
      </c>
    </row>
    <row r="660" spans="1:21" s="204" customFormat="1" ht="27" customHeight="1">
      <c r="A660" s="274">
        <f>IF(B660&lt;&gt;"",SUBTOTAL(103,$D$7:$D660),"")</f>
        <v>319</v>
      </c>
      <c r="B660" s="220">
        <f>IF(C660&lt;&gt;"",SUBTOTAL(103,$C$641:$C660),"")</f>
        <v>14</v>
      </c>
      <c r="C660" s="221" t="s">
        <v>196</v>
      </c>
      <c r="D660" s="47" t="s">
        <v>197</v>
      </c>
      <c r="E660" s="42" t="s">
        <v>316</v>
      </c>
      <c r="F660" s="42" t="s">
        <v>198</v>
      </c>
      <c r="G660" s="42" t="s">
        <v>346</v>
      </c>
      <c r="H660" s="42" t="s">
        <v>199</v>
      </c>
      <c r="I660" s="42" t="s">
        <v>200</v>
      </c>
      <c r="J660" s="45">
        <v>41760</v>
      </c>
      <c r="K660" s="128">
        <v>20</v>
      </c>
      <c r="L660" s="362" t="s">
        <v>46</v>
      </c>
      <c r="M660" s="363"/>
      <c r="N660" s="128">
        <v>0</v>
      </c>
      <c r="O660" s="129">
        <v>1210000</v>
      </c>
      <c r="P660" s="129">
        <f>R660+Q660+S660</f>
        <v>51550000</v>
      </c>
      <c r="Q660" s="217">
        <v>0</v>
      </c>
      <c r="R660" s="129">
        <f>8250000+7000000</f>
        <v>15250000</v>
      </c>
      <c r="S660" s="129">
        <f t="shared" si="45"/>
        <v>36300000</v>
      </c>
      <c r="T660" s="257" t="s">
        <v>2125</v>
      </c>
      <c r="U660" s="240">
        <v>42655</v>
      </c>
    </row>
    <row r="661" spans="1:21" s="204" customFormat="1" ht="27" customHeight="1">
      <c r="A661" s="274">
        <f>IF(B661&lt;&gt;"",SUBTOTAL(103,$D$7:$D661),"")</f>
        <v>320</v>
      </c>
      <c r="B661" s="220">
        <f>IF(C661&lt;&gt;"",SUBTOTAL(103,$C$641:$C661),"")</f>
        <v>15</v>
      </c>
      <c r="C661" s="221" t="s">
        <v>202</v>
      </c>
      <c r="D661" s="47" t="s">
        <v>203</v>
      </c>
      <c r="E661" s="42" t="s">
        <v>625</v>
      </c>
      <c r="F661" s="42" t="s">
        <v>1170</v>
      </c>
      <c r="G661" s="42" t="s">
        <v>346</v>
      </c>
      <c r="H661" s="42" t="s">
        <v>1171</v>
      </c>
      <c r="I661" s="42" t="s">
        <v>1172</v>
      </c>
      <c r="J661" s="45">
        <v>41640</v>
      </c>
      <c r="K661" s="128">
        <v>20</v>
      </c>
      <c r="L661" s="362" t="s">
        <v>46</v>
      </c>
      <c r="M661" s="363"/>
      <c r="N661" s="128">
        <v>0</v>
      </c>
      <c r="O661" s="129">
        <v>1150000</v>
      </c>
      <c r="P661" s="129">
        <f t="shared" si="42"/>
        <v>34500000</v>
      </c>
      <c r="Q661" s="129">
        <f>N661*O661*1.5</f>
        <v>0</v>
      </c>
      <c r="R661" s="129">
        <v>0</v>
      </c>
      <c r="S661" s="129">
        <f t="shared" si="45"/>
        <v>34500000</v>
      </c>
      <c r="T661" s="257" t="s">
        <v>2071</v>
      </c>
      <c r="U661" s="240">
        <v>42655</v>
      </c>
    </row>
    <row r="662" spans="1:21" s="204" customFormat="1" ht="27" customHeight="1">
      <c r="A662" s="274">
        <f>IF(B662&lt;&gt;"",SUBTOTAL(103,$D$7:$D662),"")</f>
        <v>321</v>
      </c>
      <c r="B662" s="220">
        <f>IF(C662&lt;&gt;"",SUBTOTAL(103,$C$641:$C662),"")</f>
        <v>16</v>
      </c>
      <c r="C662" s="221" t="s">
        <v>1173</v>
      </c>
      <c r="D662" s="47" t="s">
        <v>1174</v>
      </c>
      <c r="E662" s="42" t="s">
        <v>626</v>
      </c>
      <c r="F662" s="42" t="s">
        <v>1175</v>
      </c>
      <c r="G662" s="42" t="s">
        <v>346</v>
      </c>
      <c r="H662" s="42" t="s">
        <v>210</v>
      </c>
      <c r="I662" s="42" t="s">
        <v>1176</v>
      </c>
      <c r="J662" s="45">
        <v>41640</v>
      </c>
      <c r="K662" s="128">
        <v>20</v>
      </c>
      <c r="L662" s="362" t="s">
        <v>46</v>
      </c>
      <c r="M662" s="363"/>
      <c r="N662" s="128">
        <v>0</v>
      </c>
      <c r="O662" s="129">
        <v>1150000</v>
      </c>
      <c r="P662" s="129">
        <f t="shared" si="42"/>
        <v>34500000</v>
      </c>
      <c r="Q662" s="129">
        <f>N662*O662*1.5</f>
        <v>0</v>
      </c>
      <c r="R662" s="129">
        <v>0</v>
      </c>
      <c r="S662" s="129">
        <f t="shared" si="45"/>
        <v>34500000</v>
      </c>
      <c r="T662" s="257" t="s">
        <v>2126</v>
      </c>
      <c r="U662" s="240">
        <v>42655</v>
      </c>
    </row>
    <row r="663" spans="1:21" s="204" customFormat="1" ht="27" customHeight="1">
      <c r="A663" s="274">
        <f>IF(B663&lt;&gt;"",SUBTOTAL(103,$D$7:$D663),"")</f>
        <v>322</v>
      </c>
      <c r="B663" s="220">
        <f>IF(C663&lt;&gt;"",SUBTOTAL(103,$C$641:$C663),"")</f>
        <v>17</v>
      </c>
      <c r="C663" s="221" t="s">
        <v>4</v>
      </c>
      <c r="D663" s="47" t="s">
        <v>5</v>
      </c>
      <c r="E663" s="42" t="s">
        <v>6</v>
      </c>
      <c r="F663" s="42" t="s">
        <v>7</v>
      </c>
      <c r="G663" s="42" t="s">
        <v>346</v>
      </c>
      <c r="H663" s="42" t="s">
        <v>206</v>
      </c>
      <c r="I663" s="42" t="s">
        <v>3</v>
      </c>
      <c r="J663" s="45">
        <v>41760</v>
      </c>
      <c r="K663" s="128">
        <v>20</v>
      </c>
      <c r="L663" s="362" t="s">
        <v>46</v>
      </c>
      <c r="M663" s="363"/>
      <c r="N663" s="128">
        <v>0</v>
      </c>
      <c r="O663" s="129">
        <v>1210000</v>
      </c>
      <c r="P663" s="129">
        <f t="shared" si="42"/>
        <v>47323000</v>
      </c>
      <c r="Q663" s="129">
        <f>N663*O663*1.5</f>
        <v>0</v>
      </c>
      <c r="R663" s="129">
        <f>4120000+6903000</f>
        <v>11023000</v>
      </c>
      <c r="S663" s="129">
        <f t="shared" si="45"/>
        <v>36300000</v>
      </c>
      <c r="T663" s="257" t="s">
        <v>2127</v>
      </c>
      <c r="U663" s="240">
        <v>42655</v>
      </c>
    </row>
    <row r="664" spans="1:21" s="204" customFormat="1" ht="27" customHeight="1">
      <c r="A664" s="274">
        <f>IF(B664&lt;&gt;"",SUBTOTAL(103,$D$7:$D664),"")</f>
        <v>323</v>
      </c>
      <c r="B664" s="220">
        <f>IF(C664&lt;&gt;"",SUBTOTAL(103,$C$641:$C664),"")</f>
        <v>18</v>
      </c>
      <c r="C664" s="221" t="s">
        <v>917</v>
      </c>
      <c r="D664" s="47" t="s">
        <v>918</v>
      </c>
      <c r="E664" s="42" t="s">
        <v>919</v>
      </c>
      <c r="F664" s="42" t="s">
        <v>920</v>
      </c>
      <c r="G664" s="42" t="s">
        <v>346</v>
      </c>
      <c r="H664" s="42" t="s">
        <v>921</v>
      </c>
      <c r="I664" s="42" t="s">
        <v>922</v>
      </c>
      <c r="J664" s="45">
        <v>41913</v>
      </c>
      <c r="K664" s="128">
        <v>15</v>
      </c>
      <c r="L664" s="45">
        <v>42370</v>
      </c>
      <c r="M664" s="45">
        <v>42491</v>
      </c>
      <c r="N664" s="128">
        <f>DATEDIF(L664,M664,"m")+1</f>
        <v>5</v>
      </c>
      <c r="O664" s="129"/>
      <c r="P664" s="129">
        <f>Q664+R664+S664</f>
        <v>17940000</v>
      </c>
      <c r="Q664" s="129">
        <f>SUM(Q665:Q666)</f>
        <v>8715000</v>
      </c>
      <c r="R664" s="129">
        <v>9225000</v>
      </c>
      <c r="S664" s="129">
        <v>0</v>
      </c>
      <c r="T664" s="257" t="s">
        <v>1554</v>
      </c>
      <c r="U664" s="240">
        <v>42655</v>
      </c>
    </row>
    <row r="665" spans="1:21" s="204" customFormat="1" ht="27" customHeight="1" hidden="1" outlineLevel="1">
      <c r="A665" s="274">
        <f>IF(B665&lt;&gt;"",SUBTOTAL(103,$D$7:$D665),"")</f>
      </c>
      <c r="B665" s="220">
        <f>IF(C665&lt;&gt;"",SUBTOTAL(103,$C$641:$C665),"")</f>
      </c>
      <c r="C665" s="221"/>
      <c r="D665" s="47"/>
      <c r="E665" s="42"/>
      <c r="F665" s="42"/>
      <c r="G665" s="42"/>
      <c r="H665" s="42"/>
      <c r="I665" s="42"/>
      <c r="J665" s="45"/>
      <c r="K665" s="128"/>
      <c r="L665" s="45">
        <v>42370</v>
      </c>
      <c r="M665" s="45">
        <v>42461</v>
      </c>
      <c r="N665" s="128">
        <f>DATEDIF(L665,M665,"m")+1</f>
        <v>4</v>
      </c>
      <c r="O665" s="129">
        <v>1150000</v>
      </c>
      <c r="P665" s="129">
        <f>Q665+R665+S665</f>
        <v>6900000</v>
      </c>
      <c r="Q665" s="129">
        <f>N665*O665*1.5</f>
        <v>6900000</v>
      </c>
      <c r="R665" s="129"/>
      <c r="S665" s="129"/>
      <c r="T665" s="257"/>
      <c r="U665" s="222"/>
    </row>
    <row r="666" spans="1:21" s="204" customFormat="1" ht="27" customHeight="1" hidden="1" outlineLevel="1">
      <c r="A666" s="274">
        <f>IF(B666&lt;&gt;"",SUBTOTAL(103,$D$7:$D666),"")</f>
      </c>
      <c r="B666" s="220">
        <f>IF(C666&lt;&gt;"",SUBTOTAL(103,$C$641:$C666),"")</f>
      </c>
      <c r="C666" s="221"/>
      <c r="D666" s="47"/>
      <c r="E666" s="42"/>
      <c r="F666" s="42"/>
      <c r="G666" s="42"/>
      <c r="H666" s="42"/>
      <c r="I666" s="42"/>
      <c r="J666" s="45"/>
      <c r="K666" s="128"/>
      <c r="L666" s="45">
        <v>42491</v>
      </c>
      <c r="M666" s="45">
        <v>42491</v>
      </c>
      <c r="N666" s="128">
        <f>DATEDIF(L666,M666,"m")+1</f>
        <v>1</v>
      </c>
      <c r="O666" s="129">
        <v>1210000</v>
      </c>
      <c r="P666" s="129">
        <f>Q666+R666+S666</f>
        <v>1815000</v>
      </c>
      <c r="Q666" s="129">
        <f>N666*O666*1.5</f>
        <v>1815000</v>
      </c>
      <c r="R666" s="129"/>
      <c r="S666" s="129"/>
      <c r="T666" s="257"/>
      <c r="U666" s="222"/>
    </row>
    <row r="667" spans="1:21" s="204" customFormat="1" ht="27" customHeight="1" collapsed="1">
      <c r="A667" s="274">
        <f>IF(B667&lt;&gt;"",SUBTOTAL(103,$D$7:$D667),"")</f>
        <v>324</v>
      </c>
      <c r="B667" s="220">
        <f>IF(C667&lt;&gt;"",SUBTOTAL(103,$C$641:$C667),"")</f>
        <v>19</v>
      </c>
      <c r="C667" s="221" t="s">
        <v>923</v>
      </c>
      <c r="D667" s="47" t="s">
        <v>924</v>
      </c>
      <c r="E667" s="42" t="s">
        <v>446</v>
      </c>
      <c r="F667" s="42" t="s">
        <v>925</v>
      </c>
      <c r="G667" s="42" t="s">
        <v>346</v>
      </c>
      <c r="H667" s="42" t="s">
        <v>926</v>
      </c>
      <c r="I667" s="42" t="s">
        <v>927</v>
      </c>
      <c r="J667" s="45">
        <v>41913</v>
      </c>
      <c r="K667" s="128">
        <v>15</v>
      </c>
      <c r="L667" s="45">
        <v>42370</v>
      </c>
      <c r="M667" s="45">
        <v>42491</v>
      </c>
      <c r="N667" s="128">
        <f aca="true" t="shared" si="46" ref="N667:N676">DATEDIF(L667,M667,"m")+1</f>
        <v>5</v>
      </c>
      <c r="O667" s="129"/>
      <c r="P667" s="129">
        <f t="shared" si="42"/>
        <v>21865000</v>
      </c>
      <c r="Q667" s="129">
        <f>SUM(Q668:Q669)</f>
        <v>8715000</v>
      </c>
      <c r="R667" s="129">
        <f>4150000+4000000+5000000</f>
        <v>13150000</v>
      </c>
      <c r="S667" s="129">
        <v>0</v>
      </c>
      <c r="T667" s="257" t="s">
        <v>1556</v>
      </c>
      <c r="U667" s="240">
        <v>42655</v>
      </c>
    </row>
    <row r="668" spans="1:21" s="204" customFormat="1" ht="27" customHeight="1" hidden="1" outlineLevel="1">
      <c r="A668" s="274">
        <f>IF(B668&lt;&gt;"",SUBTOTAL(103,$D$7:$D668),"")</f>
      </c>
      <c r="B668" s="220">
        <f>IF(C668&lt;&gt;"",SUBTOTAL(103,$C$641:$C668),"")</f>
      </c>
      <c r="C668" s="221"/>
      <c r="D668" s="47"/>
      <c r="E668" s="42"/>
      <c r="F668" s="42"/>
      <c r="G668" s="42"/>
      <c r="H668" s="42"/>
      <c r="I668" s="42"/>
      <c r="J668" s="45"/>
      <c r="K668" s="128"/>
      <c r="L668" s="45">
        <v>42370</v>
      </c>
      <c r="M668" s="45">
        <v>42461</v>
      </c>
      <c r="N668" s="128">
        <f>DATEDIF(L668,M668,"m")+1</f>
        <v>4</v>
      </c>
      <c r="O668" s="129">
        <v>1150000</v>
      </c>
      <c r="P668" s="129">
        <f>Q668+R668+S668</f>
        <v>6900000</v>
      </c>
      <c r="Q668" s="129">
        <f>N668*O668*1.5</f>
        <v>6900000</v>
      </c>
      <c r="R668" s="129"/>
      <c r="S668" s="129"/>
      <c r="T668" s="257"/>
      <c r="U668" s="222"/>
    </row>
    <row r="669" spans="1:21" s="204" customFormat="1" ht="27" customHeight="1" hidden="1" outlineLevel="1">
      <c r="A669" s="274">
        <f>IF(B669&lt;&gt;"",SUBTOTAL(103,$D$7:$D669),"")</f>
      </c>
      <c r="B669" s="220">
        <f>IF(C669&lt;&gt;"",SUBTOTAL(103,$C$641:$C669),"")</f>
      </c>
      <c r="C669" s="221"/>
      <c r="D669" s="47"/>
      <c r="E669" s="42"/>
      <c r="F669" s="42"/>
      <c r="G669" s="42"/>
      <c r="H669" s="42"/>
      <c r="I669" s="42"/>
      <c r="J669" s="45"/>
      <c r="K669" s="128"/>
      <c r="L669" s="45">
        <v>42491</v>
      </c>
      <c r="M669" s="45">
        <v>42491</v>
      </c>
      <c r="N669" s="128">
        <f>DATEDIF(L669,M669,"m")+1</f>
        <v>1</v>
      </c>
      <c r="O669" s="129">
        <v>1210000</v>
      </c>
      <c r="P669" s="129">
        <f>Q669+R669+S669</f>
        <v>1815000</v>
      </c>
      <c r="Q669" s="129">
        <f>N669*O669*1.5</f>
        <v>1815000</v>
      </c>
      <c r="R669" s="129"/>
      <c r="S669" s="129"/>
      <c r="T669" s="257"/>
      <c r="U669" s="222"/>
    </row>
    <row r="670" spans="1:21" s="204" customFormat="1" ht="27" customHeight="1" collapsed="1">
      <c r="A670" s="274">
        <f>IF(B670&lt;&gt;"",SUBTOTAL(103,$D$7:$D670),"")</f>
        <v>325</v>
      </c>
      <c r="B670" s="220">
        <f>IF(C670&lt;&gt;"",SUBTOTAL(103,$C$641:$C670),"")</f>
        <v>20</v>
      </c>
      <c r="C670" s="221" t="s">
        <v>932</v>
      </c>
      <c r="D670" s="47" t="s">
        <v>644</v>
      </c>
      <c r="E670" s="42" t="s">
        <v>628</v>
      </c>
      <c r="F670" s="42" t="s">
        <v>933</v>
      </c>
      <c r="G670" s="42" t="s">
        <v>346</v>
      </c>
      <c r="H670" s="42" t="s">
        <v>681</v>
      </c>
      <c r="I670" s="42" t="s">
        <v>934</v>
      </c>
      <c r="J670" s="45">
        <v>41913</v>
      </c>
      <c r="K670" s="128"/>
      <c r="L670" s="45">
        <v>41913</v>
      </c>
      <c r="M670" s="45">
        <v>42339</v>
      </c>
      <c r="N670" s="128">
        <f t="shared" si="46"/>
        <v>15</v>
      </c>
      <c r="O670" s="129"/>
      <c r="P670" s="129">
        <f t="shared" si="42"/>
        <v>30210000</v>
      </c>
      <c r="Q670" s="129">
        <f>SUM(Q671:Q672)</f>
        <v>8715000</v>
      </c>
      <c r="R670" s="129">
        <f>7620000+7125000+6750000</f>
        <v>21495000</v>
      </c>
      <c r="S670" s="129">
        <v>0</v>
      </c>
      <c r="T670" s="257" t="s">
        <v>1555</v>
      </c>
      <c r="U670" s="240">
        <v>42655</v>
      </c>
    </row>
    <row r="671" spans="1:21" s="204" customFormat="1" ht="27" customHeight="1" hidden="1" outlineLevel="1">
      <c r="A671" s="274">
        <f>IF(B671&lt;&gt;"",SUBTOTAL(103,$D$7:$D671),"")</f>
      </c>
      <c r="B671" s="220">
        <f>IF(C671&lt;&gt;"",SUBTOTAL(103,$C$641:$C671),"")</f>
      </c>
      <c r="C671" s="221"/>
      <c r="D671" s="47"/>
      <c r="E671" s="42"/>
      <c r="F671" s="42"/>
      <c r="G671" s="42"/>
      <c r="H671" s="42"/>
      <c r="I671" s="42"/>
      <c r="J671" s="45"/>
      <c r="K671" s="128"/>
      <c r="L671" s="45">
        <v>42370</v>
      </c>
      <c r="M671" s="45">
        <v>42461</v>
      </c>
      <c r="N671" s="128">
        <f>DATEDIF(L671,M671,"m")+1</f>
        <v>4</v>
      </c>
      <c r="O671" s="129">
        <v>1150000</v>
      </c>
      <c r="P671" s="129">
        <f>Q671+R671+S671</f>
        <v>6900000</v>
      </c>
      <c r="Q671" s="129">
        <f>N671*O671*1.5</f>
        <v>6900000</v>
      </c>
      <c r="R671" s="129"/>
      <c r="S671" s="129"/>
      <c r="T671" s="257"/>
      <c r="U671" s="222"/>
    </row>
    <row r="672" spans="1:21" s="204" customFormat="1" ht="27" customHeight="1" hidden="1" outlineLevel="1">
      <c r="A672" s="274">
        <f>IF(B672&lt;&gt;"",SUBTOTAL(103,$D$7:$D672),"")</f>
      </c>
      <c r="B672" s="220">
        <f>IF(C672&lt;&gt;"",SUBTOTAL(103,$C$641:$C672),"")</f>
      </c>
      <c r="C672" s="221"/>
      <c r="D672" s="47"/>
      <c r="E672" s="42"/>
      <c r="F672" s="42"/>
      <c r="G672" s="42"/>
      <c r="H672" s="42"/>
      <c r="I672" s="42"/>
      <c r="J672" s="45"/>
      <c r="K672" s="128"/>
      <c r="L672" s="45">
        <v>42491</v>
      </c>
      <c r="M672" s="45">
        <v>42491</v>
      </c>
      <c r="N672" s="128">
        <f>DATEDIF(L672,M672,"m")+1</f>
        <v>1</v>
      </c>
      <c r="O672" s="129">
        <v>1210000</v>
      </c>
      <c r="P672" s="129">
        <f>Q672+R672+S672</f>
        <v>1815000</v>
      </c>
      <c r="Q672" s="129">
        <f>N672*O672*1.5</f>
        <v>1815000</v>
      </c>
      <c r="R672" s="129"/>
      <c r="S672" s="129"/>
      <c r="T672" s="257"/>
      <c r="U672" s="222"/>
    </row>
    <row r="673" spans="1:21" s="204" customFormat="1" ht="27" customHeight="1" collapsed="1">
      <c r="A673" s="274">
        <f>IF(B673&lt;&gt;"",SUBTOTAL(103,$D$7:$D673),"")</f>
        <v>326</v>
      </c>
      <c r="B673" s="220">
        <f>IF(C673&lt;&gt;"",SUBTOTAL(103,$C$641:$C673),"")</f>
        <v>21</v>
      </c>
      <c r="C673" s="221" t="s">
        <v>988</v>
      </c>
      <c r="D673" s="47" t="s">
        <v>989</v>
      </c>
      <c r="E673" s="42" t="s">
        <v>629</v>
      </c>
      <c r="F673" s="42" t="s">
        <v>990</v>
      </c>
      <c r="G673" s="42" t="s">
        <v>346</v>
      </c>
      <c r="H673" s="42" t="s">
        <v>206</v>
      </c>
      <c r="I673" s="42" t="s">
        <v>991</v>
      </c>
      <c r="J673" s="45">
        <v>41913</v>
      </c>
      <c r="K673" s="128">
        <v>15</v>
      </c>
      <c r="L673" s="45">
        <v>42370</v>
      </c>
      <c r="M673" s="45">
        <v>42491</v>
      </c>
      <c r="N673" s="128">
        <f t="shared" si="46"/>
        <v>5</v>
      </c>
      <c r="O673" s="129"/>
      <c r="P673" s="129">
        <f t="shared" si="42"/>
        <v>31012000</v>
      </c>
      <c r="Q673" s="129">
        <f>SUM(Q674:Q675)</f>
        <v>8715000</v>
      </c>
      <c r="R673" s="129">
        <f>7003000+7624000+7670000</f>
        <v>22297000</v>
      </c>
      <c r="S673" s="129">
        <v>0</v>
      </c>
      <c r="T673" s="257" t="s">
        <v>1551</v>
      </c>
      <c r="U673" s="240">
        <v>42655</v>
      </c>
    </row>
    <row r="674" spans="1:21" s="204" customFormat="1" ht="27" customHeight="1" hidden="1" outlineLevel="1">
      <c r="A674" s="274">
        <f>IF(B674&lt;&gt;"",SUBTOTAL(103,$D$7:$D674),"")</f>
      </c>
      <c r="B674" s="220">
        <f>IF(C674&lt;&gt;"",SUBTOTAL(103,$C$641:$C674),"")</f>
      </c>
      <c r="C674" s="221"/>
      <c r="D674" s="47"/>
      <c r="E674" s="42"/>
      <c r="F674" s="42"/>
      <c r="G674" s="42"/>
      <c r="H674" s="42"/>
      <c r="I674" s="42"/>
      <c r="J674" s="45"/>
      <c r="K674" s="128"/>
      <c r="L674" s="45">
        <v>42370</v>
      </c>
      <c r="M674" s="45">
        <v>42461</v>
      </c>
      <c r="N674" s="128">
        <f t="shared" si="46"/>
        <v>4</v>
      </c>
      <c r="O674" s="129">
        <v>1150000</v>
      </c>
      <c r="P674" s="129">
        <f t="shared" si="42"/>
        <v>6900000</v>
      </c>
      <c r="Q674" s="129">
        <f>N674*O674*1.5</f>
        <v>6900000</v>
      </c>
      <c r="R674" s="129"/>
      <c r="S674" s="129"/>
      <c r="T674" s="257"/>
      <c r="U674" s="222"/>
    </row>
    <row r="675" spans="1:21" s="204" customFormat="1" ht="27" customHeight="1" hidden="1" outlineLevel="1">
      <c r="A675" s="274">
        <f>IF(B675&lt;&gt;"",SUBTOTAL(103,$D$7:$D675),"")</f>
      </c>
      <c r="B675" s="220">
        <f>IF(C675&lt;&gt;"",SUBTOTAL(103,$C$641:$C675),"")</f>
      </c>
      <c r="C675" s="221"/>
      <c r="D675" s="47"/>
      <c r="E675" s="42"/>
      <c r="F675" s="42"/>
      <c r="G675" s="42"/>
      <c r="H675" s="42"/>
      <c r="I675" s="42"/>
      <c r="J675" s="45"/>
      <c r="K675" s="128"/>
      <c r="L675" s="45">
        <v>42491</v>
      </c>
      <c r="M675" s="45">
        <v>42491</v>
      </c>
      <c r="N675" s="128">
        <f t="shared" si="46"/>
        <v>1</v>
      </c>
      <c r="O675" s="129">
        <v>1210000</v>
      </c>
      <c r="P675" s="129">
        <f t="shared" si="42"/>
        <v>1815000</v>
      </c>
      <c r="Q675" s="129">
        <f>N675*O675*1.5</f>
        <v>1815000</v>
      </c>
      <c r="R675" s="129"/>
      <c r="S675" s="129"/>
      <c r="T675" s="257"/>
      <c r="U675" s="222"/>
    </row>
    <row r="676" spans="1:21" s="204" customFormat="1" ht="27" customHeight="1" collapsed="1">
      <c r="A676" s="274">
        <f>IF(B676&lt;&gt;"",SUBTOTAL(103,$D$7:$D676),"")</f>
        <v>327</v>
      </c>
      <c r="B676" s="220">
        <f>IF(C676&lt;&gt;"",SUBTOTAL(103,$C$641:$C676),"")</f>
        <v>22</v>
      </c>
      <c r="C676" s="221" t="s">
        <v>992</v>
      </c>
      <c r="D676" s="47" t="s">
        <v>993</v>
      </c>
      <c r="E676" s="42" t="s">
        <v>994</v>
      </c>
      <c r="F676" s="42" t="s">
        <v>995</v>
      </c>
      <c r="G676" s="42" t="s">
        <v>346</v>
      </c>
      <c r="H676" s="42" t="s">
        <v>152</v>
      </c>
      <c r="I676" s="42" t="s">
        <v>991</v>
      </c>
      <c r="J676" s="45">
        <v>41913</v>
      </c>
      <c r="K676" s="128">
        <v>15</v>
      </c>
      <c r="L676" s="45">
        <v>42370</v>
      </c>
      <c r="M676" s="45">
        <v>42491</v>
      </c>
      <c r="N676" s="128">
        <f t="shared" si="46"/>
        <v>5</v>
      </c>
      <c r="O676" s="129">
        <v>1150000</v>
      </c>
      <c r="P676" s="129">
        <f t="shared" si="42"/>
        <v>32432000</v>
      </c>
      <c r="Q676" s="129">
        <f>SUM(Q677:Q678)</f>
        <v>8715000</v>
      </c>
      <c r="R676" s="129">
        <f>5976000+10738000+7003000</f>
        <v>23717000</v>
      </c>
      <c r="S676" s="129">
        <v>0</v>
      </c>
      <c r="T676" s="257" t="s">
        <v>1552</v>
      </c>
      <c r="U676" s="240">
        <v>42655</v>
      </c>
    </row>
    <row r="677" spans="1:21" s="204" customFormat="1" ht="27" customHeight="1" hidden="1" outlineLevel="1">
      <c r="A677" s="274">
        <f>IF(B677&lt;&gt;"",SUBTOTAL(103,$D$7:$D677),"")</f>
      </c>
      <c r="B677" s="220">
        <f>IF(C677&lt;&gt;"",SUBTOTAL(103,$C$641:$C677),"")</f>
      </c>
      <c r="C677" s="221"/>
      <c r="D677" s="47"/>
      <c r="E677" s="42"/>
      <c r="F677" s="42"/>
      <c r="G677" s="42"/>
      <c r="H677" s="42"/>
      <c r="I677" s="42"/>
      <c r="J677" s="45"/>
      <c r="K677" s="128"/>
      <c r="L677" s="45">
        <v>42370</v>
      </c>
      <c r="M677" s="45">
        <v>42461</v>
      </c>
      <c r="N677" s="128">
        <f>DATEDIF(L677,M677,"m")+1</f>
        <v>4</v>
      </c>
      <c r="O677" s="129">
        <v>1150000</v>
      </c>
      <c r="P677" s="129">
        <f t="shared" si="42"/>
        <v>6900000</v>
      </c>
      <c r="Q677" s="129">
        <f>N677*O677*1.5</f>
        <v>6900000</v>
      </c>
      <c r="R677" s="129"/>
      <c r="S677" s="129"/>
      <c r="T677" s="257"/>
      <c r="U677" s="222"/>
    </row>
    <row r="678" spans="1:21" s="204" customFormat="1" ht="27" customHeight="1" hidden="1" outlineLevel="1">
      <c r="A678" s="274">
        <f>IF(B678&lt;&gt;"",SUBTOTAL(103,$D$7:$D678),"")</f>
      </c>
      <c r="B678" s="220">
        <f>IF(C678&lt;&gt;"",SUBTOTAL(103,$C$641:$C678),"")</f>
      </c>
      <c r="C678" s="221"/>
      <c r="D678" s="47"/>
      <c r="E678" s="42"/>
      <c r="F678" s="42"/>
      <c r="G678" s="42"/>
      <c r="H678" s="42"/>
      <c r="I678" s="42"/>
      <c r="J678" s="45"/>
      <c r="K678" s="128"/>
      <c r="L678" s="45">
        <v>42491</v>
      </c>
      <c r="M678" s="45">
        <v>42491</v>
      </c>
      <c r="N678" s="128">
        <f>DATEDIF(L678,M678,"m")+1</f>
        <v>1</v>
      </c>
      <c r="O678" s="129">
        <v>1210000</v>
      </c>
      <c r="P678" s="129">
        <f t="shared" si="42"/>
        <v>1815000</v>
      </c>
      <c r="Q678" s="129">
        <f>N678*O678*1.5</f>
        <v>1815000</v>
      </c>
      <c r="R678" s="129"/>
      <c r="S678" s="129"/>
      <c r="T678" s="257"/>
      <c r="U678" s="222"/>
    </row>
    <row r="679" spans="1:21" s="204" customFormat="1" ht="27" customHeight="1" collapsed="1">
      <c r="A679" s="274">
        <f>IF(B679&lt;&gt;"",SUBTOTAL(103,$D$7:$D679),"")</f>
        <v>328</v>
      </c>
      <c r="B679" s="220">
        <f>IF(C679&lt;&gt;"",SUBTOTAL(103,$C$641:$C679),"")</f>
        <v>23</v>
      </c>
      <c r="C679" s="221" t="s">
        <v>996</v>
      </c>
      <c r="D679" s="47" t="s">
        <v>688</v>
      </c>
      <c r="E679" s="42" t="s">
        <v>533</v>
      </c>
      <c r="F679" s="42" t="s">
        <v>997</v>
      </c>
      <c r="G679" s="42" t="s">
        <v>346</v>
      </c>
      <c r="H679" s="42" t="s">
        <v>532</v>
      </c>
      <c r="I679" s="42" t="s">
        <v>534</v>
      </c>
      <c r="J679" s="45">
        <v>41944</v>
      </c>
      <c r="K679" s="128">
        <v>14</v>
      </c>
      <c r="L679" s="45">
        <v>42370</v>
      </c>
      <c r="M679" s="45">
        <v>42522</v>
      </c>
      <c r="N679" s="128">
        <f>DATEDIF(L679,M679,"m")+1</f>
        <v>6</v>
      </c>
      <c r="O679" s="129"/>
      <c r="P679" s="129">
        <f t="shared" si="42"/>
        <v>19680000</v>
      </c>
      <c r="Q679" s="129">
        <f>SUM(Q680:Q681)</f>
        <v>10530000</v>
      </c>
      <c r="R679" s="129">
        <f>8250000+900000</f>
        <v>9150000</v>
      </c>
      <c r="S679" s="129">
        <v>0</v>
      </c>
      <c r="T679" s="257" t="s">
        <v>1553</v>
      </c>
      <c r="U679" s="240">
        <v>42655</v>
      </c>
    </row>
    <row r="680" spans="1:21" s="204" customFormat="1" ht="27" customHeight="1" hidden="1" outlineLevel="1">
      <c r="A680" s="274">
        <f>IF(B680&lt;&gt;"",SUBTOTAL(103,$D$7:$D680),"")</f>
      </c>
      <c r="B680" s="220">
        <f>IF(C680&lt;&gt;"",SUBTOTAL(103,$C$641:$C680),"")</f>
      </c>
      <c r="C680" s="221"/>
      <c r="D680" s="47"/>
      <c r="E680" s="42"/>
      <c r="F680" s="42"/>
      <c r="G680" s="42"/>
      <c r="H680" s="42"/>
      <c r="I680" s="42"/>
      <c r="J680" s="45"/>
      <c r="K680" s="128"/>
      <c r="L680" s="45">
        <v>42370</v>
      </c>
      <c r="M680" s="45">
        <v>42461</v>
      </c>
      <c r="N680" s="128">
        <f>DATEDIF(L680,M680,"m")+1</f>
        <v>4</v>
      </c>
      <c r="O680" s="129">
        <v>1150000</v>
      </c>
      <c r="P680" s="129">
        <f t="shared" si="42"/>
        <v>6900000</v>
      </c>
      <c r="Q680" s="129">
        <f>N680*O680*1.5</f>
        <v>6900000</v>
      </c>
      <c r="R680" s="129"/>
      <c r="S680" s="129"/>
      <c r="T680" s="257"/>
      <c r="U680" s="222"/>
    </row>
    <row r="681" spans="1:21" s="204" customFormat="1" ht="27" customHeight="1" hidden="1" outlineLevel="1">
      <c r="A681" s="274">
        <f>IF(B681&lt;&gt;"",SUBTOTAL(103,$D$7:$D681),"")</f>
      </c>
      <c r="B681" s="220">
        <f>IF(C681&lt;&gt;"",SUBTOTAL(103,$C$641:$C681),"")</f>
      </c>
      <c r="C681" s="221"/>
      <c r="D681" s="47"/>
      <c r="E681" s="42"/>
      <c r="F681" s="42"/>
      <c r="G681" s="42"/>
      <c r="H681" s="42"/>
      <c r="I681" s="42"/>
      <c r="J681" s="45"/>
      <c r="K681" s="128"/>
      <c r="L681" s="45">
        <v>42491</v>
      </c>
      <c r="M681" s="45">
        <v>42522</v>
      </c>
      <c r="N681" s="128">
        <f>DATEDIF(L681,M681,"m")+1</f>
        <v>2</v>
      </c>
      <c r="O681" s="129">
        <v>1210000</v>
      </c>
      <c r="P681" s="129">
        <f t="shared" si="42"/>
        <v>3630000</v>
      </c>
      <c r="Q681" s="129">
        <f>N681*O681*1.5</f>
        <v>3630000</v>
      </c>
      <c r="R681" s="129"/>
      <c r="S681" s="129"/>
      <c r="T681" s="257"/>
      <c r="U681" s="222"/>
    </row>
    <row r="682" spans="1:21" s="204" customFormat="1" ht="27" customHeight="1" collapsed="1">
      <c r="A682" s="274">
        <f>IF(B682&lt;&gt;"",SUBTOTAL(103,$D$7:$D682),"")</f>
        <v>329</v>
      </c>
      <c r="B682" s="220">
        <f>IF(C682&lt;&gt;"",SUBTOTAL(103,$C$641:$C682),"")</f>
        <v>24</v>
      </c>
      <c r="C682" s="221" t="s">
        <v>182</v>
      </c>
      <c r="D682" s="47" t="s">
        <v>453</v>
      </c>
      <c r="E682" s="42" t="s">
        <v>183</v>
      </c>
      <c r="F682" s="42" t="s">
        <v>184</v>
      </c>
      <c r="G682" s="42" t="s">
        <v>346</v>
      </c>
      <c r="H682" s="42" t="s">
        <v>185</v>
      </c>
      <c r="I682" s="42" t="s">
        <v>295</v>
      </c>
      <c r="J682" s="45">
        <v>41640</v>
      </c>
      <c r="K682" s="128">
        <v>20</v>
      </c>
      <c r="L682" s="362" t="s">
        <v>46</v>
      </c>
      <c r="M682" s="363"/>
      <c r="N682" s="128">
        <v>0</v>
      </c>
      <c r="O682" s="129">
        <v>1210000</v>
      </c>
      <c r="P682" s="129">
        <f t="shared" si="42"/>
        <v>36300000</v>
      </c>
      <c r="Q682" s="129">
        <f>N682*O682*1.5</f>
        <v>0</v>
      </c>
      <c r="R682" s="129">
        <v>0</v>
      </c>
      <c r="S682" s="129">
        <f>30*O682</f>
        <v>36300000</v>
      </c>
      <c r="T682" s="257" t="s">
        <v>2128</v>
      </c>
      <c r="U682" s="240">
        <v>42662</v>
      </c>
    </row>
    <row r="683" spans="1:21" s="204" customFormat="1" ht="27" customHeight="1">
      <c r="A683" s="274">
        <f>IF(B683&lt;&gt;"",SUBTOTAL(103,$D$7:$D683),"")</f>
        <v>330</v>
      </c>
      <c r="B683" s="220">
        <f>IF(C683&lt;&gt;"",SUBTOTAL(103,$C$641:$C683),"")</f>
        <v>25</v>
      </c>
      <c r="C683" s="221" t="s">
        <v>467</v>
      </c>
      <c r="D683" s="47" t="s">
        <v>0</v>
      </c>
      <c r="E683" s="42" t="s">
        <v>627</v>
      </c>
      <c r="F683" s="42" t="s">
        <v>1</v>
      </c>
      <c r="G683" s="42" t="s">
        <v>346</v>
      </c>
      <c r="H683" s="42" t="s">
        <v>2</v>
      </c>
      <c r="I683" s="42" t="s">
        <v>3</v>
      </c>
      <c r="J683" s="45">
        <v>41760</v>
      </c>
      <c r="K683" s="128">
        <v>20</v>
      </c>
      <c r="L683" s="362" t="s">
        <v>46</v>
      </c>
      <c r="M683" s="363"/>
      <c r="N683" s="128">
        <v>0</v>
      </c>
      <c r="O683" s="129">
        <v>1210000</v>
      </c>
      <c r="P683" s="129">
        <f>Q683+R683+S683</f>
        <v>48971000</v>
      </c>
      <c r="Q683" s="129">
        <f>N683*O683*1.5</f>
        <v>0</v>
      </c>
      <c r="R683" s="129">
        <f>6903000+5768000</f>
        <v>12671000</v>
      </c>
      <c r="S683" s="129">
        <f>30*O683</f>
        <v>36300000</v>
      </c>
      <c r="T683" s="257" t="s">
        <v>2129</v>
      </c>
      <c r="U683" s="240">
        <v>42662</v>
      </c>
    </row>
    <row r="684" spans="1:21" s="276" customFormat="1" ht="27" customHeight="1" collapsed="1">
      <c r="A684" s="274">
        <f>IF(B684&lt;&gt;"",SUBTOTAL(103,$D$7:$D684),"")</f>
        <v>331</v>
      </c>
      <c r="B684" s="220">
        <f>IF(C684&lt;&gt;"",SUBTOTAL(103,$C$641:$C684),"")</f>
        <v>26</v>
      </c>
      <c r="C684" s="221" t="s">
        <v>928</v>
      </c>
      <c r="D684" s="47" t="s">
        <v>929</v>
      </c>
      <c r="E684" s="42" t="s">
        <v>236</v>
      </c>
      <c r="F684" s="42" t="s">
        <v>930</v>
      </c>
      <c r="G684" s="42" t="s">
        <v>346</v>
      </c>
      <c r="H684" s="42" t="s">
        <v>931</v>
      </c>
      <c r="I684" s="42" t="s">
        <v>164</v>
      </c>
      <c r="J684" s="45">
        <v>41913</v>
      </c>
      <c r="K684" s="128">
        <v>15</v>
      </c>
      <c r="L684" s="45">
        <v>42370</v>
      </c>
      <c r="M684" s="45">
        <v>42491</v>
      </c>
      <c r="N684" s="128">
        <f>DATEDIF(L684,M684,"m")+1</f>
        <v>5</v>
      </c>
      <c r="O684" s="129">
        <v>1150000</v>
      </c>
      <c r="P684" s="129">
        <f>Q684+R684+S684</f>
        <v>8715000</v>
      </c>
      <c r="Q684" s="129">
        <f>SUM(Q685:Q686)</f>
        <v>8715000</v>
      </c>
      <c r="R684" s="129">
        <v>0</v>
      </c>
      <c r="S684" s="129">
        <v>0</v>
      </c>
      <c r="T684" s="257" t="s">
        <v>1964</v>
      </c>
      <c r="U684" s="240">
        <v>42664</v>
      </c>
    </row>
    <row r="685" spans="1:21" s="276" customFormat="1" ht="27" customHeight="1" hidden="1" outlineLevel="1">
      <c r="A685" s="274">
        <f>IF(B685&lt;&gt;"",SUBTOTAL(103,$D$7:$D685),"")</f>
      </c>
      <c r="B685" s="220"/>
      <c r="C685" s="221"/>
      <c r="D685" s="47"/>
      <c r="E685" s="42"/>
      <c r="F685" s="42"/>
      <c r="G685" s="42"/>
      <c r="H685" s="42"/>
      <c r="I685" s="42"/>
      <c r="J685" s="45"/>
      <c r="K685" s="128"/>
      <c r="L685" s="45">
        <v>42370</v>
      </c>
      <c r="M685" s="45">
        <v>42461</v>
      </c>
      <c r="N685" s="128">
        <f>DATEDIF(L685,M685,"m")+1</f>
        <v>4</v>
      </c>
      <c r="O685" s="129">
        <v>1150000</v>
      </c>
      <c r="P685" s="129">
        <f>Q685+R685+S685</f>
        <v>6900000</v>
      </c>
      <c r="Q685" s="129">
        <f>N685*O685*1.5</f>
        <v>6900000</v>
      </c>
      <c r="R685" s="129"/>
      <c r="S685" s="129"/>
      <c r="T685" s="257"/>
      <c r="U685" s="222"/>
    </row>
    <row r="686" spans="1:21" s="276" customFormat="1" ht="27" customHeight="1" hidden="1" outlineLevel="1">
      <c r="A686" s="274">
        <f>IF(B686&lt;&gt;"",SUBTOTAL(103,$D$7:$D686),"")</f>
      </c>
      <c r="B686" s="220"/>
      <c r="C686" s="221"/>
      <c r="D686" s="47"/>
      <c r="E686" s="42"/>
      <c r="F686" s="42"/>
      <c r="G686" s="42"/>
      <c r="H686" s="42"/>
      <c r="I686" s="42"/>
      <c r="J686" s="45"/>
      <c r="K686" s="128"/>
      <c r="L686" s="45">
        <v>42491</v>
      </c>
      <c r="M686" s="45">
        <v>42491</v>
      </c>
      <c r="N686" s="128">
        <f>DATEDIF(L686,M686,"m")+1</f>
        <v>1</v>
      </c>
      <c r="O686" s="129">
        <v>1210000</v>
      </c>
      <c r="P686" s="129">
        <f>Q686+R686+S686</f>
        <v>1815000</v>
      </c>
      <c r="Q686" s="129">
        <f>N686*O686*1.5</f>
        <v>1815000</v>
      </c>
      <c r="R686" s="129"/>
      <c r="S686" s="129"/>
      <c r="T686" s="257"/>
      <c r="U686" s="222"/>
    </row>
    <row r="687" spans="1:21" s="273" customFormat="1" ht="27" customHeight="1" collapsed="1">
      <c r="A687" s="274">
        <f>IF(B687&lt;&gt;"",SUBTOTAL(103,$D$7:$D687),"")</f>
      </c>
      <c r="B687" s="213"/>
      <c r="C687" s="214" t="s">
        <v>357</v>
      </c>
      <c r="D687" s="218"/>
      <c r="E687" s="7"/>
      <c r="F687" s="7"/>
      <c r="G687" s="7"/>
      <c r="H687" s="7"/>
      <c r="I687" s="7"/>
      <c r="J687" s="136"/>
      <c r="K687" s="20"/>
      <c r="L687" s="21"/>
      <c r="M687" s="21"/>
      <c r="N687" s="22"/>
      <c r="O687" s="11"/>
      <c r="P687" s="12">
        <f>SUBTOTAL(109,P688:P692)</f>
        <v>224575000</v>
      </c>
      <c r="Q687" s="12">
        <f>SUBTOTAL(109,Q688:Q692)</f>
        <v>6900000</v>
      </c>
      <c r="R687" s="12">
        <f>SUBTOTAL(109,R688:R692)</f>
        <v>79675000</v>
      </c>
      <c r="S687" s="12">
        <f>SUBTOTAL(109,S688:S692)</f>
        <v>138000000</v>
      </c>
      <c r="T687" s="262"/>
      <c r="U687" s="216"/>
    </row>
    <row r="688" spans="1:21" s="204" customFormat="1" ht="27" customHeight="1">
      <c r="A688" s="274">
        <f>IF(B688&lt;&gt;"",SUBTOTAL(103,$D$7:$D688),"")</f>
        <v>332</v>
      </c>
      <c r="B688" s="220">
        <f>IF(C688&lt;&gt;"",SUBTOTAL(103,$C$688:$C688),"")</f>
        <v>1</v>
      </c>
      <c r="C688" s="221" t="s">
        <v>388</v>
      </c>
      <c r="D688" s="47" t="s">
        <v>389</v>
      </c>
      <c r="E688" s="42" t="s">
        <v>2164</v>
      </c>
      <c r="F688" s="42" t="s">
        <v>390</v>
      </c>
      <c r="G688" s="42" t="s">
        <v>346</v>
      </c>
      <c r="H688" s="42" t="s">
        <v>391</v>
      </c>
      <c r="I688" s="42" t="s">
        <v>392</v>
      </c>
      <c r="J688" s="45">
        <v>41426</v>
      </c>
      <c r="K688" s="128">
        <v>20</v>
      </c>
      <c r="L688" s="362" t="s">
        <v>46</v>
      </c>
      <c r="M688" s="363"/>
      <c r="N688" s="101">
        <v>0</v>
      </c>
      <c r="O688" s="129">
        <v>1150000</v>
      </c>
      <c r="P688" s="129">
        <f>Q688+R688+S688</f>
        <v>70525000</v>
      </c>
      <c r="Q688" s="129">
        <f>N688*O688*1.5</f>
        <v>0</v>
      </c>
      <c r="R688" s="129">
        <f>17375000+18650000</f>
        <v>36025000</v>
      </c>
      <c r="S688" s="129">
        <f>30*O688</f>
        <v>34500000</v>
      </c>
      <c r="T688" s="255" t="s">
        <v>2130</v>
      </c>
      <c r="U688" s="222"/>
    </row>
    <row r="689" spans="1:21" s="276" customFormat="1" ht="27" customHeight="1">
      <c r="A689" s="274">
        <f>IF(B689&lt;&gt;"",SUBTOTAL(103,$D$7:$D689),"")</f>
        <v>333</v>
      </c>
      <c r="B689" s="220">
        <f>IF(C689&lt;&gt;"",SUBTOTAL(103,$C$688:$C689),"")</f>
        <v>2</v>
      </c>
      <c r="C689" s="221" t="s">
        <v>358</v>
      </c>
      <c r="D689" s="47" t="s">
        <v>359</v>
      </c>
      <c r="E689" s="48" t="s">
        <v>360</v>
      </c>
      <c r="F689" s="42" t="s">
        <v>361</v>
      </c>
      <c r="G689" s="42" t="s">
        <v>341</v>
      </c>
      <c r="H689" s="42" t="s">
        <v>48</v>
      </c>
      <c r="I689" s="42" t="s">
        <v>362</v>
      </c>
      <c r="J689" s="45">
        <v>41244</v>
      </c>
      <c r="K689" s="127">
        <f>11+15</f>
        <v>26</v>
      </c>
      <c r="L689" s="45">
        <v>42370</v>
      </c>
      <c r="M689" s="45">
        <v>42461</v>
      </c>
      <c r="N689" s="128">
        <f>DATEDIF(L689,M689,"m")+1</f>
        <v>4</v>
      </c>
      <c r="O689" s="129">
        <v>1150000</v>
      </c>
      <c r="P689" s="129">
        <f>Q689+R689+S689</f>
        <v>6900000</v>
      </c>
      <c r="Q689" s="129">
        <f>N689*O689*1.5</f>
        <v>6900000</v>
      </c>
      <c r="R689" s="129">
        <v>0</v>
      </c>
      <c r="S689" s="129">
        <v>0</v>
      </c>
      <c r="T689" s="258" t="s">
        <v>1964</v>
      </c>
      <c r="U689" s="240">
        <v>42664</v>
      </c>
    </row>
    <row r="690" spans="1:21" s="276" customFormat="1" ht="27" customHeight="1">
      <c r="A690" s="274">
        <f>IF(B690&lt;&gt;"",SUBTOTAL(103,$D$7:$D690),"")</f>
        <v>334</v>
      </c>
      <c r="B690" s="220">
        <f>IF(C690&lt;&gt;"",SUBTOTAL(103,$C$688:$C690),"")</f>
        <v>3</v>
      </c>
      <c r="C690" s="221" t="s">
        <v>1013</v>
      </c>
      <c r="D690" s="47" t="s">
        <v>717</v>
      </c>
      <c r="E690" s="48" t="s">
        <v>1100</v>
      </c>
      <c r="F690" s="42" t="s">
        <v>1101</v>
      </c>
      <c r="G690" s="42" t="s">
        <v>346</v>
      </c>
      <c r="H690" s="42" t="s">
        <v>206</v>
      </c>
      <c r="I690" s="42" t="s">
        <v>362</v>
      </c>
      <c r="J690" s="45">
        <v>41275</v>
      </c>
      <c r="K690" s="127">
        <v>20</v>
      </c>
      <c r="L690" s="362" t="s">
        <v>46</v>
      </c>
      <c r="M690" s="363"/>
      <c r="N690" s="128">
        <v>0</v>
      </c>
      <c r="O690" s="129">
        <v>1150000</v>
      </c>
      <c r="P690" s="129">
        <f>Q690+R690+S690</f>
        <v>49050000</v>
      </c>
      <c r="Q690" s="129">
        <f>N690*O690*1.5</f>
        <v>0</v>
      </c>
      <c r="R690" s="129">
        <f>4125000+7275000+3150000</f>
        <v>14550000</v>
      </c>
      <c r="S690" s="129">
        <f>30*O690</f>
        <v>34500000</v>
      </c>
      <c r="T690" s="308" t="s">
        <v>2176</v>
      </c>
      <c r="U690" s="240">
        <v>42669</v>
      </c>
    </row>
    <row r="691" spans="1:21" s="276" customFormat="1" ht="27" customHeight="1">
      <c r="A691" s="274">
        <f>IF(B691&lt;&gt;"",SUBTOTAL(103,$D$7:$D691),"")</f>
        <v>335</v>
      </c>
      <c r="B691" s="220">
        <f>IF(C691&lt;&gt;"",SUBTOTAL(103,$C$688:$C691),"")</f>
        <v>4</v>
      </c>
      <c r="C691" s="221" t="s">
        <v>1105</v>
      </c>
      <c r="D691" s="47" t="s">
        <v>1161</v>
      </c>
      <c r="E691" s="48" t="s">
        <v>1103</v>
      </c>
      <c r="F691" s="42" t="s">
        <v>1104</v>
      </c>
      <c r="G691" s="42" t="s">
        <v>346</v>
      </c>
      <c r="H691" s="42" t="s">
        <v>206</v>
      </c>
      <c r="I691" s="42" t="s">
        <v>362</v>
      </c>
      <c r="J691" s="45">
        <v>41275</v>
      </c>
      <c r="K691" s="127">
        <v>20</v>
      </c>
      <c r="L691" s="362" t="s">
        <v>46</v>
      </c>
      <c r="M691" s="363"/>
      <c r="N691" s="128">
        <v>0</v>
      </c>
      <c r="O691" s="129">
        <v>1150000</v>
      </c>
      <c r="P691" s="129">
        <f>Q691+R691+S691</f>
        <v>49050000</v>
      </c>
      <c r="Q691" s="129">
        <f>N691*O691*1.5</f>
        <v>0</v>
      </c>
      <c r="R691" s="129">
        <f>7275000+3150000+4125000</f>
        <v>14550000</v>
      </c>
      <c r="S691" s="129">
        <f>30*O691</f>
        <v>34500000</v>
      </c>
      <c r="T691" s="308" t="s">
        <v>2177</v>
      </c>
      <c r="U691" s="240">
        <v>42669</v>
      </c>
    </row>
    <row r="692" spans="1:21" s="276" customFormat="1" ht="27" customHeight="1">
      <c r="A692" s="274">
        <f>IF(B692&lt;&gt;"",SUBTOTAL(103,$D$7:$D692),"")</f>
        <v>336</v>
      </c>
      <c r="B692" s="220">
        <f>IF(C692&lt;&gt;"",SUBTOTAL(103,$C$688:$C692),"")</f>
        <v>5</v>
      </c>
      <c r="C692" s="221" t="s">
        <v>1102</v>
      </c>
      <c r="D692" s="47" t="s">
        <v>1106</v>
      </c>
      <c r="E692" s="48" t="s">
        <v>1107</v>
      </c>
      <c r="F692" s="42" t="s">
        <v>1108</v>
      </c>
      <c r="G692" s="42" t="s">
        <v>346</v>
      </c>
      <c r="H692" s="42" t="s">
        <v>677</v>
      </c>
      <c r="I692" s="42" t="s">
        <v>362</v>
      </c>
      <c r="J692" s="45">
        <v>41275</v>
      </c>
      <c r="K692" s="127">
        <v>20</v>
      </c>
      <c r="L692" s="362" t="s">
        <v>46</v>
      </c>
      <c r="M692" s="363"/>
      <c r="N692" s="128">
        <v>0</v>
      </c>
      <c r="O692" s="129">
        <v>1150000</v>
      </c>
      <c r="P692" s="129">
        <f>Q692+R692+S692</f>
        <v>49050000</v>
      </c>
      <c r="Q692" s="129">
        <f>N692*O692*1.5</f>
        <v>0</v>
      </c>
      <c r="R692" s="129">
        <f>7275000+3150000+4125000</f>
        <v>14550000</v>
      </c>
      <c r="S692" s="129">
        <f>30*O692</f>
        <v>34500000</v>
      </c>
      <c r="T692" s="308" t="s">
        <v>2177</v>
      </c>
      <c r="U692" s="240">
        <v>42669</v>
      </c>
    </row>
    <row r="693" spans="1:21" s="273" customFormat="1" ht="27" customHeight="1">
      <c r="A693" s="274">
        <f>IF(B693&lt;&gt;"",SUBTOTAL(103,$D$7:$D693),"")</f>
      </c>
      <c r="B693" s="213"/>
      <c r="C693" s="214" t="s">
        <v>249</v>
      </c>
      <c r="D693" s="218"/>
      <c r="E693" s="7"/>
      <c r="F693" s="7"/>
      <c r="G693" s="7"/>
      <c r="H693" s="7"/>
      <c r="I693" s="7"/>
      <c r="J693" s="136"/>
      <c r="K693" s="20"/>
      <c r="L693" s="21"/>
      <c r="M693" s="21"/>
      <c r="N693" s="22"/>
      <c r="O693" s="11"/>
      <c r="P693" s="12">
        <f>SUBTOTAL(109,P694:P695)</f>
        <v>43215000</v>
      </c>
      <c r="Q693" s="12">
        <f>SUBTOTAL(109,Q694:Q695)</f>
        <v>8715000</v>
      </c>
      <c r="R693" s="12">
        <f>SUBTOTAL(109,R694:R695)</f>
        <v>0</v>
      </c>
      <c r="S693" s="12">
        <f>SUBTOTAL(109,S694:S695)</f>
        <v>34500000</v>
      </c>
      <c r="T693" s="262"/>
      <c r="U693" s="216"/>
    </row>
    <row r="694" spans="1:21" s="204" customFormat="1" ht="27" customHeight="1">
      <c r="A694" s="274">
        <f>IF(B694&lt;&gt;"",SUBTOTAL(103,$D$7:$D694),"")</f>
        <v>337</v>
      </c>
      <c r="B694" s="220">
        <f>IF(C694&lt;&gt;"",SUBTOTAL(103,$C$694:$C694),"")</f>
        <v>1</v>
      </c>
      <c r="C694" s="221" t="s">
        <v>216</v>
      </c>
      <c r="D694" s="47" t="s">
        <v>367</v>
      </c>
      <c r="E694" s="48" t="s">
        <v>368</v>
      </c>
      <c r="F694" s="42" t="s">
        <v>369</v>
      </c>
      <c r="G694" s="42" t="s">
        <v>346</v>
      </c>
      <c r="H694" s="42" t="s">
        <v>370</v>
      </c>
      <c r="I694" s="42" t="s">
        <v>371</v>
      </c>
      <c r="J694" s="45">
        <v>41244</v>
      </c>
      <c r="K694" s="127">
        <v>20</v>
      </c>
      <c r="L694" s="362" t="s">
        <v>46</v>
      </c>
      <c r="M694" s="363"/>
      <c r="N694" s="101">
        <v>0</v>
      </c>
      <c r="O694" s="129">
        <v>1150000</v>
      </c>
      <c r="P694" s="129">
        <f>Q694+R694+S694</f>
        <v>34500000</v>
      </c>
      <c r="Q694" s="129">
        <f>N694*O694*1.5</f>
        <v>0</v>
      </c>
      <c r="R694" s="129">
        <v>0</v>
      </c>
      <c r="S694" s="129">
        <f>30*O694</f>
        <v>34500000</v>
      </c>
      <c r="T694" s="258" t="s">
        <v>2131</v>
      </c>
      <c r="U694" s="222"/>
    </row>
    <row r="695" spans="1:21" s="276" customFormat="1" ht="27" customHeight="1">
      <c r="A695" s="274">
        <f>IF(B695&lt;&gt;"",SUBTOTAL(103,$D$7:$D695),"")</f>
        <v>338</v>
      </c>
      <c r="B695" s="220">
        <f>IF(C695&lt;&gt;"",SUBTOTAL(103,$C$694:$C695),"")</f>
        <v>2</v>
      </c>
      <c r="C695" s="221" t="s">
        <v>620</v>
      </c>
      <c r="D695" s="47" t="s">
        <v>621</v>
      </c>
      <c r="E695" s="48" t="s">
        <v>1127</v>
      </c>
      <c r="F695" s="42" t="s">
        <v>622</v>
      </c>
      <c r="G695" s="42" t="s">
        <v>346</v>
      </c>
      <c r="H695" s="42" t="s">
        <v>206</v>
      </c>
      <c r="I695" s="42" t="s">
        <v>623</v>
      </c>
      <c r="J695" s="45">
        <v>41913</v>
      </c>
      <c r="K695" s="127">
        <v>15</v>
      </c>
      <c r="L695" s="45">
        <v>42370</v>
      </c>
      <c r="M695" s="45">
        <v>42491</v>
      </c>
      <c r="N695" s="128">
        <f>DATEDIF(L695,M695,"m")+1</f>
        <v>5</v>
      </c>
      <c r="O695" s="129"/>
      <c r="P695" s="129">
        <f>Q695+R695+S695</f>
        <v>8715000</v>
      </c>
      <c r="Q695" s="129">
        <f>SUM(Q696:Q697)</f>
        <v>8715000</v>
      </c>
      <c r="R695" s="129">
        <v>0</v>
      </c>
      <c r="S695" s="129">
        <v>0</v>
      </c>
      <c r="T695" s="258" t="s">
        <v>1964</v>
      </c>
      <c r="U695" s="240">
        <v>42664</v>
      </c>
    </row>
    <row r="696" spans="1:21" s="294" customFormat="1" ht="27" customHeight="1" hidden="1" outlineLevel="1">
      <c r="A696" s="274">
        <f>IF(B696&lt;&gt;"",SUBTOTAL(103,$D$7:$D696),"")</f>
      </c>
      <c r="B696" s="220"/>
      <c r="C696" s="221"/>
      <c r="D696" s="47"/>
      <c r="E696" s="48"/>
      <c r="F696" s="42"/>
      <c r="G696" s="42"/>
      <c r="H696" s="42"/>
      <c r="I696" s="42"/>
      <c r="J696" s="45"/>
      <c r="K696" s="127"/>
      <c r="L696" s="45">
        <v>42370</v>
      </c>
      <c r="M696" s="45">
        <v>42461</v>
      </c>
      <c r="N696" s="128">
        <f>DATEDIF(L696,M696,"m")+1</f>
        <v>4</v>
      </c>
      <c r="O696" s="129">
        <v>1150000</v>
      </c>
      <c r="P696" s="129">
        <f>Q696+R696+S696</f>
        <v>6900000</v>
      </c>
      <c r="Q696" s="129">
        <f>N696*O696*1.5</f>
        <v>6900000</v>
      </c>
      <c r="R696" s="129"/>
      <c r="S696" s="129"/>
      <c r="T696" s="258"/>
      <c r="U696" s="222"/>
    </row>
    <row r="697" spans="1:21" s="294" customFormat="1" ht="27" customHeight="1" hidden="1" outlineLevel="1">
      <c r="A697" s="274">
        <f>IF(B697&lt;&gt;"",SUBTOTAL(103,$D$7:$D697),"")</f>
      </c>
      <c r="B697" s="220"/>
      <c r="C697" s="221"/>
      <c r="D697" s="47"/>
      <c r="E697" s="48"/>
      <c r="F697" s="42"/>
      <c r="G697" s="42"/>
      <c r="H697" s="42"/>
      <c r="I697" s="42"/>
      <c r="J697" s="45"/>
      <c r="K697" s="127"/>
      <c r="L697" s="45">
        <v>42491</v>
      </c>
      <c r="M697" s="45">
        <v>42491</v>
      </c>
      <c r="N697" s="128">
        <f>DATEDIF(L697,M697,"m")+1</f>
        <v>1</v>
      </c>
      <c r="O697" s="129">
        <v>1210000</v>
      </c>
      <c r="P697" s="129">
        <f>Q697+R697+S697</f>
        <v>1815000</v>
      </c>
      <c r="Q697" s="129">
        <f>N697*O697*1.5</f>
        <v>1815000</v>
      </c>
      <c r="R697" s="129"/>
      <c r="S697" s="129"/>
      <c r="T697" s="258"/>
      <c r="U697" s="222"/>
    </row>
    <row r="698" spans="1:21" s="273" customFormat="1" ht="27" customHeight="1" collapsed="1">
      <c r="A698" s="274">
        <f>IF(B698&lt;&gt;"",SUBTOTAL(103,$D$7:$D698),"")</f>
      </c>
      <c r="B698" s="213"/>
      <c r="C698" s="214" t="s">
        <v>307</v>
      </c>
      <c r="D698" s="218"/>
      <c r="E698" s="7"/>
      <c r="F698" s="7"/>
      <c r="G698" s="7"/>
      <c r="H698" s="7"/>
      <c r="I698" s="7"/>
      <c r="J698" s="136"/>
      <c r="K698" s="20"/>
      <c r="L698" s="21"/>
      <c r="M698" s="21"/>
      <c r="N698" s="22"/>
      <c r="O698" s="11"/>
      <c r="P698" s="12">
        <f>SUBTOTAL(109,P699:P700)</f>
        <v>122713000</v>
      </c>
      <c r="Q698" s="12">
        <f>SUBTOTAL(109,Q699:Q700)</f>
        <v>0</v>
      </c>
      <c r="R698" s="12">
        <f>SUBTOTAL(109,R699:R700)</f>
        <v>53713000</v>
      </c>
      <c r="S698" s="12">
        <f>SUBTOTAL(109,S699:S700)</f>
        <v>69000000</v>
      </c>
      <c r="T698" s="262"/>
      <c r="U698" s="216"/>
    </row>
    <row r="699" spans="1:21" s="204" customFormat="1" ht="27" customHeight="1">
      <c r="A699" s="274">
        <f>IF(B699&lt;&gt;"",SUBTOTAL(103,$D$7:$D699),"")</f>
        <v>339</v>
      </c>
      <c r="B699" s="274">
        <f>IF(C699&lt;&gt;"",SUBTOTAL(103,$C$699:$C699),"")</f>
        <v>1</v>
      </c>
      <c r="C699" s="245" t="s">
        <v>569</v>
      </c>
      <c r="D699" s="275" t="s">
        <v>570</v>
      </c>
      <c r="E699" s="43" t="s">
        <v>571</v>
      </c>
      <c r="F699" s="43" t="s">
        <v>572</v>
      </c>
      <c r="G699" s="43" t="s">
        <v>346</v>
      </c>
      <c r="H699" s="43" t="s">
        <v>633</v>
      </c>
      <c r="I699" s="43" t="s">
        <v>319</v>
      </c>
      <c r="J699" s="45">
        <v>41609</v>
      </c>
      <c r="K699" s="128">
        <v>20</v>
      </c>
      <c r="L699" s="362" t="s">
        <v>46</v>
      </c>
      <c r="M699" s="363"/>
      <c r="N699" s="128">
        <v>0</v>
      </c>
      <c r="O699" s="129">
        <v>1150000</v>
      </c>
      <c r="P699" s="129">
        <f>Q699+R699+S699</f>
        <v>56200000</v>
      </c>
      <c r="Q699" s="129">
        <f>N699*O699*1.5</f>
        <v>0</v>
      </c>
      <c r="R699" s="129">
        <f>5300000+5000000+5700000+5700000</f>
        <v>21700000</v>
      </c>
      <c r="S699" s="129">
        <f>30*O699</f>
        <v>34500000</v>
      </c>
      <c r="T699" s="260" t="s">
        <v>2132</v>
      </c>
      <c r="U699" s="241">
        <v>42667</v>
      </c>
    </row>
    <row r="700" spans="1:24" s="204" customFormat="1" ht="27" customHeight="1">
      <c r="A700" s="274">
        <f>IF(B700&lt;&gt;"",SUBTOTAL(103,$D$7:$D700),"")</f>
        <v>340</v>
      </c>
      <c r="B700" s="220">
        <f>IF(C700&lt;&gt;"",SUBTOTAL(103,$C$699:$C700),"")</f>
        <v>2</v>
      </c>
      <c r="C700" s="221" t="s">
        <v>573</v>
      </c>
      <c r="D700" s="47" t="s">
        <v>574</v>
      </c>
      <c r="E700" s="42" t="s">
        <v>575</v>
      </c>
      <c r="F700" s="42" t="s">
        <v>576</v>
      </c>
      <c r="G700" s="42" t="s">
        <v>346</v>
      </c>
      <c r="H700" s="42" t="s">
        <v>477</v>
      </c>
      <c r="I700" s="42" t="s">
        <v>577</v>
      </c>
      <c r="J700" s="45">
        <v>41609</v>
      </c>
      <c r="K700" s="128">
        <v>20</v>
      </c>
      <c r="L700" s="362" t="s">
        <v>46</v>
      </c>
      <c r="M700" s="363"/>
      <c r="N700" s="128">
        <v>0</v>
      </c>
      <c r="O700" s="129">
        <v>1150000</v>
      </c>
      <c r="P700" s="129">
        <f>Q700+R700+S700</f>
        <v>66513000</v>
      </c>
      <c r="Q700" s="129">
        <f>N700*O700*1.5</f>
        <v>0</v>
      </c>
      <c r="R700" s="129">
        <f>900000+50000+3150000+7000000+3638000+7000000+7275000+3000000</f>
        <v>32013000</v>
      </c>
      <c r="S700" s="129">
        <f>30*O700</f>
        <v>34500000</v>
      </c>
      <c r="T700" s="264" t="s">
        <v>2133</v>
      </c>
      <c r="U700" s="222"/>
      <c r="X700" s="305"/>
    </row>
    <row r="701" spans="1:21" s="273" customFormat="1" ht="27" customHeight="1">
      <c r="A701" s="274">
        <f>IF(B701&lt;&gt;"",SUBTOTAL(103,$D$7:$D701),"")</f>
      </c>
      <c r="B701" s="213"/>
      <c r="C701" s="214" t="s">
        <v>535</v>
      </c>
      <c r="D701" s="218"/>
      <c r="E701" s="7"/>
      <c r="F701" s="7"/>
      <c r="G701" s="7"/>
      <c r="H701" s="7"/>
      <c r="I701" s="7"/>
      <c r="J701" s="136"/>
      <c r="K701" s="20"/>
      <c r="L701" s="21"/>
      <c r="M701" s="21"/>
      <c r="N701" s="22"/>
      <c r="O701" s="11"/>
      <c r="P701" s="12">
        <f>P702</f>
        <v>64895000</v>
      </c>
      <c r="Q701" s="12">
        <f>Q702</f>
        <v>10530000</v>
      </c>
      <c r="R701" s="12">
        <f>R702</f>
        <v>18065000</v>
      </c>
      <c r="S701" s="12">
        <f>S702</f>
        <v>36300000</v>
      </c>
      <c r="T701" s="262"/>
      <c r="U701" s="216"/>
    </row>
    <row r="702" spans="1:21" s="204" customFormat="1" ht="27" customHeight="1">
      <c r="A702" s="274">
        <f>IF(B702&lt;&gt;"",SUBTOTAL(103,$D$7:$D702),"")</f>
        <v>341</v>
      </c>
      <c r="B702" s="220">
        <f>IF(C702&lt;&gt;"",SUBTOTAL(103,$C$702:$C702),"")</f>
        <v>1</v>
      </c>
      <c r="C702" s="245" t="s">
        <v>536</v>
      </c>
      <c r="D702" s="47" t="s">
        <v>537</v>
      </c>
      <c r="E702" s="42" t="s">
        <v>538</v>
      </c>
      <c r="F702" s="42" t="s">
        <v>539</v>
      </c>
      <c r="G702" s="42" t="s">
        <v>346</v>
      </c>
      <c r="H702" s="42" t="s">
        <v>775</v>
      </c>
      <c r="I702" s="42" t="s">
        <v>1130</v>
      </c>
      <c r="J702" s="45">
        <v>41944</v>
      </c>
      <c r="K702" s="56">
        <v>14</v>
      </c>
      <c r="L702" s="45">
        <v>42370</v>
      </c>
      <c r="M702" s="45">
        <v>42522</v>
      </c>
      <c r="N702" s="128">
        <f>DATEDIF(L702,M702,"m")+1</f>
        <v>6</v>
      </c>
      <c r="O702" s="129">
        <v>1210000</v>
      </c>
      <c r="P702" s="129">
        <f>Q702+R702+S702</f>
        <v>64895000</v>
      </c>
      <c r="Q702" s="129">
        <f>SUM(Q703:Q704)</f>
        <v>10530000</v>
      </c>
      <c r="R702" s="129">
        <f>8750000+8400000+915000</f>
        <v>18065000</v>
      </c>
      <c r="S702" s="129">
        <f>30*O702</f>
        <v>36300000</v>
      </c>
      <c r="T702" s="267" t="s">
        <v>2134</v>
      </c>
      <c r="U702" s="240">
        <v>42641</v>
      </c>
    </row>
    <row r="703" spans="1:21" s="204" customFormat="1" ht="27" customHeight="1" hidden="1" outlineLevel="1">
      <c r="A703" s="274">
        <f>IF(B703&lt;&gt;"",SUBTOTAL(103,$D$7:$D703),"")</f>
      </c>
      <c r="B703" s="274"/>
      <c r="C703" s="245"/>
      <c r="D703" s="47"/>
      <c r="E703" s="42"/>
      <c r="F703" s="42"/>
      <c r="G703" s="42"/>
      <c r="H703" s="42"/>
      <c r="I703" s="42"/>
      <c r="J703" s="45"/>
      <c r="K703" s="56"/>
      <c r="L703" s="45">
        <v>42370</v>
      </c>
      <c r="M703" s="45">
        <v>42461</v>
      </c>
      <c r="N703" s="128">
        <f>DATEDIF(L703,M703,"m")+1</f>
        <v>4</v>
      </c>
      <c r="O703" s="129">
        <v>1150000</v>
      </c>
      <c r="P703" s="129">
        <f>Q703+R703+S703</f>
        <v>6900000</v>
      </c>
      <c r="Q703" s="129">
        <f>N703*O703*1.5</f>
        <v>6900000</v>
      </c>
      <c r="R703" s="129"/>
      <c r="S703" s="129"/>
      <c r="T703" s="264"/>
      <c r="U703" s="222"/>
    </row>
    <row r="704" spans="1:21" s="204" customFormat="1" ht="27" customHeight="1" hidden="1" outlineLevel="1">
      <c r="A704" s="274">
        <f>IF(B704&lt;&gt;"",SUBTOTAL(103,$D$7:$D704),"")</f>
      </c>
      <c r="B704" s="274"/>
      <c r="C704" s="245"/>
      <c r="D704" s="47"/>
      <c r="E704" s="42"/>
      <c r="F704" s="42"/>
      <c r="G704" s="42"/>
      <c r="H704" s="42"/>
      <c r="I704" s="42"/>
      <c r="J704" s="45"/>
      <c r="K704" s="56"/>
      <c r="L704" s="45">
        <v>42491</v>
      </c>
      <c r="M704" s="45">
        <v>42522</v>
      </c>
      <c r="N704" s="128">
        <f>DATEDIF(L704,M704,"m")+1</f>
        <v>2</v>
      </c>
      <c r="O704" s="129">
        <v>1210000</v>
      </c>
      <c r="P704" s="129">
        <f>Q704+R704+S704</f>
        <v>3630000</v>
      </c>
      <c r="Q704" s="129">
        <f>N704*O704*1.5</f>
        <v>3630000</v>
      </c>
      <c r="R704" s="129"/>
      <c r="S704" s="129"/>
      <c r="T704" s="264"/>
      <c r="U704" s="222"/>
    </row>
    <row r="705" spans="1:21" s="294" customFormat="1" ht="27" customHeight="1" collapsed="1">
      <c r="A705" s="274">
        <f>IF(B705&lt;&gt;"",SUBTOTAL(103,$D$7:$D705),"")</f>
      </c>
      <c r="B705" s="223"/>
      <c r="C705" s="224" t="s">
        <v>1409</v>
      </c>
      <c r="D705" s="225"/>
      <c r="E705" s="103"/>
      <c r="F705" s="103"/>
      <c r="G705" s="103"/>
      <c r="H705" s="103"/>
      <c r="I705" s="103"/>
      <c r="J705" s="136"/>
      <c r="K705" s="105"/>
      <c r="L705" s="136"/>
      <c r="M705" s="136"/>
      <c r="N705" s="141"/>
      <c r="O705" s="142"/>
      <c r="P705" s="12">
        <f>SUBTOTAL(109,P706:P771)</f>
        <v>1318523000</v>
      </c>
      <c r="Q705" s="12">
        <f>SUBTOTAL(109,Q706:Q771)</f>
        <v>448485000</v>
      </c>
      <c r="R705" s="12">
        <f>SUBTOTAL(109,R706:R771)</f>
        <v>508738000</v>
      </c>
      <c r="S705" s="12">
        <f>SUBTOTAL(109,S706:S771)</f>
        <v>361300000</v>
      </c>
      <c r="T705" s="270"/>
      <c r="U705" s="226"/>
    </row>
    <row r="706" spans="1:21" s="204" customFormat="1" ht="27" customHeight="1">
      <c r="A706" s="274">
        <f>IF(B706&lt;&gt;"",SUBTOTAL(103,$D$7:$D706),"")</f>
        <v>342</v>
      </c>
      <c r="B706" s="220">
        <f>IF(C706&lt;&gt;"",SUBTOTAL(103,$C$706:$C706),"")</f>
        <v>1</v>
      </c>
      <c r="C706" s="245" t="s">
        <v>1314</v>
      </c>
      <c r="D706" s="47" t="s">
        <v>1315</v>
      </c>
      <c r="E706" s="42" t="s">
        <v>1316</v>
      </c>
      <c r="F706" s="42" t="s">
        <v>1317</v>
      </c>
      <c r="G706" s="42" t="s">
        <v>341</v>
      </c>
      <c r="H706" s="42" t="s">
        <v>43</v>
      </c>
      <c r="I706" s="42" t="s">
        <v>253</v>
      </c>
      <c r="J706" s="45">
        <v>39692</v>
      </c>
      <c r="K706" s="56">
        <v>0</v>
      </c>
      <c r="L706" s="45">
        <v>39692</v>
      </c>
      <c r="M706" s="45">
        <v>40575</v>
      </c>
      <c r="N706" s="128">
        <f>DATEDIF(L706,M706,"m")+1</f>
        <v>30</v>
      </c>
      <c r="O706" s="129"/>
      <c r="P706" s="129">
        <f>SUM(Q706:S706)</f>
        <v>125930000</v>
      </c>
      <c r="Q706" s="129">
        <f>SUM(Q707:Q709)</f>
        <v>29130000</v>
      </c>
      <c r="R706" s="129">
        <v>0</v>
      </c>
      <c r="S706" s="129">
        <f>80*1210000</f>
        <v>96800000</v>
      </c>
      <c r="T706" s="267" t="s">
        <v>1318</v>
      </c>
      <c r="U706" s="222"/>
    </row>
    <row r="707" spans="1:21" s="204" customFormat="1" ht="27" customHeight="1" hidden="1" outlineLevel="1">
      <c r="A707" s="274">
        <f>IF(B707&lt;&gt;"",SUBTOTAL(103,$D$7:$D707),"")</f>
      </c>
      <c r="B707" s="220">
        <f>IF(C707&lt;&gt;"",SUBTOTAL(103,$C$706:$C707),"")</f>
      </c>
      <c r="C707" s="245"/>
      <c r="D707" s="47"/>
      <c r="E707" s="42"/>
      <c r="F707" s="42"/>
      <c r="G707" s="42"/>
      <c r="H707" s="42"/>
      <c r="I707" s="42"/>
      <c r="J707" s="45"/>
      <c r="K707" s="56"/>
      <c r="L707" s="45">
        <v>39692</v>
      </c>
      <c r="M707" s="45">
        <v>39904</v>
      </c>
      <c r="N707" s="128">
        <f>DATEDIF(L707,M707,"m")+1</f>
        <v>8</v>
      </c>
      <c r="O707" s="129">
        <v>540000</v>
      </c>
      <c r="P707" s="129"/>
      <c r="Q707" s="129">
        <f>N707*O707*1.5</f>
        <v>6480000</v>
      </c>
      <c r="R707" s="129"/>
      <c r="S707" s="129"/>
      <c r="T707" s="264"/>
      <c r="U707" s="222"/>
    </row>
    <row r="708" spans="1:21" s="204" customFormat="1" ht="27" customHeight="1" hidden="1" outlineLevel="1">
      <c r="A708" s="274">
        <f>IF(B708&lt;&gt;"",SUBTOTAL(103,$D$7:$D708),"")</f>
      </c>
      <c r="B708" s="220">
        <f>IF(C708&lt;&gt;"",SUBTOTAL(103,$C$706:$C708),"")</f>
      </c>
      <c r="C708" s="245"/>
      <c r="D708" s="47"/>
      <c r="E708" s="42"/>
      <c r="F708" s="42"/>
      <c r="G708" s="42"/>
      <c r="H708" s="42"/>
      <c r="I708" s="42"/>
      <c r="J708" s="45"/>
      <c r="K708" s="56"/>
      <c r="L708" s="45">
        <v>39934</v>
      </c>
      <c r="M708" s="45">
        <v>40269</v>
      </c>
      <c r="N708" s="128">
        <f>DATEDIF(L708,M708,"m")+1</f>
        <v>12</v>
      </c>
      <c r="O708" s="129">
        <v>650000</v>
      </c>
      <c r="P708" s="129"/>
      <c r="Q708" s="129">
        <f>N708*O708*1.5</f>
        <v>11700000</v>
      </c>
      <c r="R708" s="129"/>
      <c r="S708" s="129"/>
      <c r="T708" s="264"/>
      <c r="U708" s="222"/>
    </row>
    <row r="709" spans="1:21" s="204" customFormat="1" ht="27" customHeight="1" hidden="1" outlineLevel="1">
      <c r="A709" s="274">
        <f>IF(B709&lt;&gt;"",SUBTOTAL(103,$D$7:$D709),"")</f>
      </c>
      <c r="B709" s="220">
        <f>IF(C709&lt;&gt;"",SUBTOTAL(103,$C$706:$C709),"")</f>
      </c>
      <c r="C709" s="245"/>
      <c r="D709" s="47"/>
      <c r="E709" s="42"/>
      <c r="F709" s="42"/>
      <c r="G709" s="42"/>
      <c r="H709" s="42"/>
      <c r="I709" s="42"/>
      <c r="J709" s="45"/>
      <c r="K709" s="56"/>
      <c r="L709" s="45">
        <v>40299</v>
      </c>
      <c r="M709" s="45">
        <v>40575</v>
      </c>
      <c r="N709" s="128">
        <f>DATEDIF(L709,M709,"m")+1</f>
        <v>10</v>
      </c>
      <c r="O709" s="129">
        <v>730000</v>
      </c>
      <c r="P709" s="129"/>
      <c r="Q709" s="129">
        <f>N709*O709*1.5</f>
        <v>10950000</v>
      </c>
      <c r="R709" s="129"/>
      <c r="S709" s="129"/>
      <c r="T709" s="264"/>
      <c r="U709" s="222"/>
    </row>
    <row r="710" spans="1:21" s="204" customFormat="1" ht="27" customHeight="1" collapsed="1">
      <c r="A710" s="274">
        <f>IF(B710&lt;&gt;"",SUBTOTAL(103,$D$7:$D710),"")</f>
        <v>343</v>
      </c>
      <c r="B710" s="220">
        <f>IF(C710&lt;&gt;"",SUBTOTAL(103,$C$706:$C710),"")</f>
        <v>2</v>
      </c>
      <c r="C710" s="245" t="s">
        <v>284</v>
      </c>
      <c r="D710" s="47" t="s">
        <v>285</v>
      </c>
      <c r="E710" s="42" t="s">
        <v>1333</v>
      </c>
      <c r="F710" s="42" t="s">
        <v>1334</v>
      </c>
      <c r="G710" s="42" t="s">
        <v>1198</v>
      </c>
      <c r="H710" s="42" t="s">
        <v>1335</v>
      </c>
      <c r="I710" s="42" t="s">
        <v>1336</v>
      </c>
      <c r="J710" s="45">
        <v>41214</v>
      </c>
      <c r="K710" s="56">
        <v>20</v>
      </c>
      <c r="L710" s="362" t="s">
        <v>46</v>
      </c>
      <c r="M710" s="363"/>
      <c r="N710" s="128">
        <v>0</v>
      </c>
      <c r="O710" s="129">
        <v>1150000</v>
      </c>
      <c r="P710" s="129">
        <f aca="true" t="shared" si="47" ref="P710:P730">SUM(Q710:S710)</f>
        <v>34500000</v>
      </c>
      <c r="Q710" s="129">
        <v>0</v>
      </c>
      <c r="R710" s="129">
        <v>0</v>
      </c>
      <c r="S710" s="129">
        <f>30*O710</f>
        <v>34500000</v>
      </c>
      <c r="T710" s="267" t="s">
        <v>1337</v>
      </c>
      <c r="U710" s="240">
        <v>42639</v>
      </c>
    </row>
    <row r="711" spans="1:21" s="204" customFormat="1" ht="27" customHeight="1">
      <c r="A711" s="274">
        <f>IF(B711&lt;&gt;"",SUBTOTAL(103,$D$7:$D711),"")</f>
        <v>344</v>
      </c>
      <c r="B711" s="220">
        <f>IF(C711&lt;&gt;"",SUBTOTAL(103,$C$706:$C711),"")</f>
        <v>3</v>
      </c>
      <c r="C711" s="245" t="s">
        <v>276</v>
      </c>
      <c r="D711" s="47" t="s">
        <v>277</v>
      </c>
      <c r="E711" s="42" t="s">
        <v>1333</v>
      </c>
      <c r="F711" s="42" t="s">
        <v>278</v>
      </c>
      <c r="G711" s="42" t="s">
        <v>346</v>
      </c>
      <c r="H711" s="42" t="s">
        <v>327</v>
      </c>
      <c r="I711" s="42" t="s">
        <v>256</v>
      </c>
      <c r="J711" s="45">
        <v>41214</v>
      </c>
      <c r="K711" s="56">
        <v>20</v>
      </c>
      <c r="L711" s="362" t="s">
        <v>46</v>
      </c>
      <c r="M711" s="363"/>
      <c r="N711" s="128">
        <v>0</v>
      </c>
      <c r="O711" s="129">
        <v>1150000</v>
      </c>
      <c r="P711" s="129">
        <f t="shared" si="47"/>
        <v>39375000</v>
      </c>
      <c r="Q711" s="129">
        <v>0</v>
      </c>
      <c r="R711" s="129">
        <v>4875000</v>
      </c>
      <c r="S711" s="129">
        <f>30*O711</f>
        <v>34500000</v>
      </c>
      <c r="T711" s="267" t="s">
        <v>1338</v>
      </c>
      <c r="U711" s="240">
        <v>42639</v>
      </c>
    </row>
    <row r="712" spans="1:21" s="204" customFormat="1" ht="27" customHeight="1">
      <c r="A712" s="274">
        <f>IF(B712&lt;&gt;"",SUBTOTAL(103,$D$7:$D712),"")</f>
        <v>345</v>
      </c>
      <c r="B712" s="220">
        <f>IF(C712&lt;&gt;"",SUBTOTAL(103,$C$706:$C712),"")</f>
        <v>4</v>
      </c>
      <c r="C712" s="245" t="s">
        <v>1339</v>
      </c>
      <c r="D712" s="47" t="s">
        <v>1340</v>
      </c>
      <c r="E712" s="42" t="s">
        <v>1341</v>
      </c>
      <c r="F712" s="42" t="s">
        <v>1342</v>
      </c>
      <c r="G712" s="42" t="s">
        <v>341</v>
      </c>
      <c r="H712" s="42" t="s">
        <v>960</v>
      </c>
      <c r="I712" s="42" t="s">
        <v>696</v>
      </c>
      <c r="J712" s="45">
        <v>40148</v>
      </c>
      <c r="K712" s="56">
        <v>30</v>
      </c>
      <c r="L712" s="362" t="s">
        <v>46</v>
      </c>
      <c r="M712" s="363"/>
      <c r="N712" s="128">
        <v>0</v>
      </c>
      <c r="O712" s="129">
        <v>1150000</v>
      </c>
      <c r="P712" s="129">
        <f t="shared" si="47"/>
        <v>92000000</v>
      </c>
      <c r="Q712" s="129">
        <v>0</v>
      </c>
      <c r="R712" s="129">
        <v>0</v>
      </c>
      <c r="S712" s="129">
        <f>80*O712</f>
        <v>92000000</v>
      </c>
      <c r="T712" s="267" t="s">
        <v>2135</v>
      </c>
      <c r="U712" s="240">
        <v>42639</v>
      </c>
    </row>
    <row r="713" spans="1:21" s="204" customFormat="1" ht="27" customHeight="1">
      <c r="A713" s="274">
        <f>IF(B713&lt;&gt;"",SUBTOTAL(103,$D$7:$D713),"")</f>
        <v>346</v>
      </c>
      <c r="B713" s="220">
        <f>IF(C713&lt;&gt;"",SUBTOTAL(103,$C$706:$C713),"")</f>
        <v>5</v>
      </c>
      <c r="C713" s="245" t="s">
        <v>471</v>
      </c>
      <c r="D713" s="47" t="s">
        <v>472</v>
      </c>
      <c r="E713" s="42" t="s">
        <v>1343</v>
      </c>
      <c r="F713" s="42" t="s">
        <v>473</v>
      </c>
      <c r="G713" s="42" t="s">
        <v>346</v>
      </c>
      <c r="H713" s="42" t="s">
        <v>449</v>
      </c>
      <c r="I713" s="42" t="s">
        <v>474</v>
      </c>
      <c r="J713" s="45">
        <v>41122</v>
      </c>
      <c r="K713" s="56">
        <v>20</v>
      </c>
      <c r="L713" s="362" t="s">
        <v>46</v>
      </c>
      <c r="M713" s="363"/>
      <c r="N713" s="128">
        <v>0</v>
      </c>
      <c r="O713" s="129">
        <v>1150000</v>
      </c>
      <c r="P713" s="129">
        <f t="shared" si="47"/>
        <v>34500000</v>
      </c>
      <c r="Q713" s="129">
        <v>0</v>
      </c>
      <c r="R713" s="129">
        <v>0</v>
      </c>
      <c r="S713" s="129">
        <f>30*O713</f>
        <v>34500000</v>
      </c>
      <c r="T713" s="267" t="s">
        <v>1344</v>
      </c>
      <c r="U713" s="240">
        <v>42639</v>
      </c>
    </row>
    <row r="714" spans="1:21" s="204" customFormat="1" ht="27" customHeight="1">
      <c r="A714" s="274">
        <f>IF(B714&lt;&gt;"",SUBTOTAL(103,$D$7:$D714),"")</f>
        <v>347</v>
      </c>
      <c r="B714" s="220">
        <f>IF(C714&lt;&gt;"",SUBTOTAL(103,$C$706:$C714),"")</f>
        <v>6</v>
      </c>
      <c r="C714" s="221" t="s">
        <v>876</v>
      </c>
      <c r="D714" s="47" t="s">
        <v>877</v>
      </c>
      <c r="E714" s="42" t="s">
        <v>1345</v>
      </c>
      <c r="F714" s="42" t="s">
        <v>878</v>
      </c>
      <c r="G714" s="42" t="s">
        <v>346</v>
      </c>
      <c r="H714" s="42" t="s">
        <v>210</v>
      </c>
      <c r="I714" s="42" t="s">
        <v>551</v>
      </c>
      <c r="J714" s="45">
        <v>41609</v>
      </c>
      <c r="K714" s="56">
        <v>20</v>
      </c>
      <c r="L714" s="362" t="s">
        <v>46</v>
      </c>
      <c r="M714" s="363"/>
      <c r="N714" s="128">
        <v>0</v>
      </c>
      <c r="O714" s="129">
        <v>1150000</v>
      </c>
      <c r="P714" s="129">
        <f t="shared" si="47"/>
        <v>38625000</v>
      </c>
      <c r="Q714" s="129">
        <v>0</v>
      </c>
      <c r="R714" s="129">
        <v>4125000</v>
      </c>
      <c r="S714" s="129">
        <f>30*O714</f>
        <v>34500000</v>
      </c>
      <c r="T714" s="264" t="s">
        <v>2136</v>
      </c>
      <c r="U714" s="240">
        <v>42639</v>
      </c>
    </row>
    <row r="715" spans="1:21" s="204" customFormat="1" ht="27" customHeight="1">
      <c r="A715" s="274">
        <f>IF(B715&lt;&gt;"",SUBTOTAL(103,$D$7:$D715),"")</f>
        <v>348</v>
      </c>
      <c r="B715" s="220">
        <f>IF(C715&lt;&gt;"",SUBTOTAL(103,$C$706:$C715),"")</f>
        <v>7</v>
      </c>
      <c r="C715" s="245" t="s">
        <v>1346</v>
      </c>
      <c r="D715" s="47" t="s">
        <v>1347</v>
      </c>
      <c r="E715" s="42" t="s">
        <v>1348</v>
      </c>
      <c r="F715" s="42" t="s">
        <v>1349</v>
      </c>
      <c r="G715" s="42" t="s">
        <v>346</v>
      </c>
      <c r="H715" s="42" t="s">
        <v>1292</v>
      </c>
      <c r="I715" s="42" t="s">
        <v>1035</v>
      </c>
      <c r="J715" s="45">
        <v>40848</v>
      </c>
      <c r="K715" s="56">
        <v>20</v>
      </c>
      <c r="L715" s="362" t="s">
        <v>46</v>
      </c>
      <c r="M715" s="363"/>
      <c r="N715" s="128">
        <v>0</v>
      </c>
      <c r="O715" s="129">
        <v>1150000</v>
      </c>
      <c r="P715" s="129">
        <f t="shared" si="47"/>
        <v>34500000</v>
      </c>
      <c r="Q715" s="129">
        <v>0</v>
      </c>
      <c r="R715" s="129">
        <v>0</v>
      </c>
      <c r="S715" s="129">
        <f>30*O715</f>
        <v>34500000</v>
      </c>
      <c r="T715" s="267" t="s">
        <v>1970</v>
      </c>
      <c r="U715" s="240">
        <v>42639</v>
      </c>
    </row>
    <row r="716" spans="1:21" s="204" customFormat="1" ht="27" customHeight="1">
      <c r="A716" s="274">
        <f>IF(B716&lt;&gt;"",SUBTOTAL(103,$D$7:$D716),"")</f>
        <v>349</v>
      </c>
      <c r="B716" s="220">
        <f>IF(C716&lt;&gt;"",SUBTOTAL(103,$C$706:$C716),"")</f>
        <v>8</v>
      </c>
      <c r="C716" s="245" t="s">
        <v>684</v>
      </c>
      <c r="D716" s="47" t="s">
        <v>1350</v>
      </c>
      <c r="E716" s="42" t="s">
        <v>1351</v>
      </c>
      <c r="F716" s="42" t="s">
        <v>1352</v>
      </c>
      <c r="G716" s="42" t="s">
        <v>346</v>
      </c>
      <c r="H716" s="42" t="s">
        <v>350</v>
      </c>
      <c r="I716" s="42" t="s">
        <v>615</v>
      </c>
      <c r="J716" s="45">
        <v>42217</v>
      </c>
      <c r="K716" s="56">
        <v>0</v>
      </c>
      <c r="L716" s="45">
        <v>42217</v>
      </c>
      <c r="M716" s="45">
        <v>42705</v>
      </c>
      <c r="N716" s="128">
        <f aca="true" t="shared" si="48" ref="N716:N745">DATEDIF(L716,M716,"m")+1</f>
        <v>17</v>
      </c>
      <c r="O716" s="129"/>
      <c r="P716" s="129">
        <f t="shared" si="47"/>
        <v>57455000</v>
      </c>
      <c r="Q716" s="129">
        <f>SUM(Q717:Q718)</f>
        <v>30045000</v>
      </c>
      <c r="R716" s="129">
        <f>8250000+19160000</f>
        <v>27410000</v>
      </c>
      <c r="S716" s="129">
        <v>0</v>
      </c>
      <c r="T716" s="264" t="s">
        <v>1353</v>
      </c>
      <c r="U716" s="240">
        <v>42639</v>
      </c>
    </row>
    <row r="717" spans="1:21" s="204" customFormat="1" ht="27" customHeight="1" hidden="1" outlineLevel="1">
      <c r="A717" s="274">
        <f>IF(B717&lt;&gt;"",SUBTOTAL(103,$D$7:$D717),"")</f>
      </c>
      <c r="B717" s="220">
        <f>IF(C717&lt;&gt;"",SUBTOTAL(103,$C$706:$C717),"")</f>
      </c>
      <c r="C717" s="245"/>
      <c r="D717" s="47"/>
      <c r="E717" s="42"/>
      <c r="F717" s="42"/>
      <c r="G717" s="42"/>
      <c r="H717" s="42"/>
      <c r="I717" s="42"/>
      <c r="J717" s="45"/>
      <c r="K717" s="56"/>
      <c r="L717" s="45">
        <v>42217</v>
      </c>
      <c r="M717" s="45">
        <v>42461</v>
      </c>
      <c r="N717" s="128">
        <f t="shared" si="48"/>
        <v>9</v>
      </c>
      <c r="O717" s="129">
        <v>1150000</v>
      </c>
      <c r="P717" s="129">
        <f t="shared" si="47"/>
        <v>15525000</v>
      </c>
      <c r="Q717" s="129">
        <f>N717*O717*1.5</f>
        <v>15525000</v>
      </c>
      <c r="R717" s="129">
        <v>0</v>
      </c>
      <c r="S717" s="129">
        <v>0</v>
      </c>
      <c r="T717" s="264"/>
      <c r="U717" s="222"/>
    </row>
    <row r="718" spans="1:21" s="204" customFormat="1" ht="27" customHeight="1" hidden="1" outlineLevel="1">
      <c r="A718" s="274">
        <f>IF(B718&lt;&gt;"",SUBTOTAL(103,$D$7:$D718),"")</f>
      </c>
      <c r="B718" s="220">
        <f>IF(C718&lt;&gt;"",SUBTOTAL(103,$C$706:$C718),"")</f>
      </c>
      <c r="C718" s="245"/>
      <c r="D718" s="47"/>
      <c r="E718" s="42"/>
      <c r="F718" s="42"/>
      <c r="G718" s="42"/>
      <c r="H718" s="42"/>
      <c r="I718" s="42"/>
      <c r="J718" s="45"/>
      <c r="K718" s="56"/>
      <c r="L718" s="45">
        <v>42491</v>
      </c>
      <c r="M718" s="45">
        <v>42705</v>
      </c>
      <c r="N718" s="128">
        <f t="shared" si="48"/>
        <v>8</v>
      </c>
      <c r="O718" s="129">
        <v>1210000</v>
      </c>
      <c r="P718" s="129">
        <f t="shared" si="47"/>
        <v>14520000</v>
      </c>
      <c r="Q718" s="129">
        <f>N718*O718*1.5</f>
        <v>14520000</v>
      </c>
      <c r="R718" s="129">
        <v>0</v>
      </c>
      <c r="S718" s="129">
        <v>0</v>
      </c>
      <c r="T718" s="264"/>
      <c r="U718" s="222"/>
    </row>
    <row r="719" spans="1:21" s="204" customFormat="1" ht="27" customHeight="1" collapsed="1">
      <c r="A719" s="274">
        <f>IF(B719&lt;&gt;"",SUBTOTAL(103,$D$7:$D719),"")</f>
        <v>350</v>
      </c>
      <c r="B719" s="220">
        <f>IF(C719&lt;&gt;"",SUBTOTAL(103,$C$706:$C719),"")</f>
        <v>9</v>
      </c>
      <c r="C719" s="245" t="s">
        <v>1354</v>
      </c>
      <c r="D719" s="47" t="s">
        <v>798</v>
      </c>
      <c r="E719" s="42" t="s">
        <v>799</v>
      </c>
      <c r="F719" s="42" t="s">
        <v>800</v>
      </c>
      <c r="G719" s="42" t="s">
        <v>341</v>
      </c>
      <c r="H719" s="42" t="s">
        <v>888</v>
      </c>
      <c r="I719" s="42" t="s">
        <v>801</v>
      </c>
      <c r="J719" s="45">
        <v>41913</v>
      </c>
      <c r="K719" s="56">
        <v>15</v>
      </c>
      <c r="L719" s="45">
        <v>42370</v>
      </c>
      <c r="M719" s="45">
        <v>42705</v>
      </c>
      <c r="N719" s="128">
        <f t="shared" si="48"/>
        <v>12</v>
      </c>
      <c r="O719" s="129"/>
      <c r="P719" s="129">
        <f t="shared" si="47"/>
        <v>71045000</v>
      </c>
      <c r="Q719" s="129">
        <f>SUM(Q720:Q721)</f>
        <v>21420000</v>
      </c>
      <c r="R719" s="129">
        <f>22000000+22625000+2500000+2500000</f>
        <v>49625000</v>
      </c>
      <c r="S719" s="129">
        <v>0</v>
      </c>
      <c r="T719" s="264" t="s">
        <v>1355</v>
      </c>
      <c r="U719" s="240">
        <v>42639</v>
      </c>
    </row>
    <row r="720" spans="1:21" s="204" customFormat="1" ht="27" customHeight="1" hidden="1" outlineLevel="1">
      <c r="A720" s="274">
        <f>IF(B720&lt;&gt;"",SUBTOTAL(103,$D$7:$D720),"")</f>
      </c>
      <c r="B720" s="220">
        <f>IF(C720&lt;&gt;"",SUBTOTAL(103,$C$706:$C720),"")</f>
      </c>
      <c r="C720" s="245"/>
      <c r="D720" s="47"/>
      <c r="E720" s="42"/>
      <c r="F720" s="42"/>
      <c r="G720" s="42"/>
      <c r="H720" s="42"/>
      <c r="I720" s="42"/>
      <c r="J720" s="45"/>
      <c r="K720" s="56"/>
      <c r="L720" s="45">
        <v>42370</v>
      </c>
      <c r="M720" s="45">
        <v>42461</v>
      </c>
      <c r="N720" s="128">
        <f t="shared" si="48"/>
        <v>4</v>
      </c>
      <c r="O720" s="129">
        <v>1150000</v>
      </c>
      <c r="P720" s="129">
        <f t="shared" si="47"/>
        <v>6900000</v>
      </c>
      <c r="Q720" s="129">
        <f>N720*O720*1.5</f>
        <v>6900000</v>
      </c>
      <c r="R720" s="129">
        <v>0</v>
      </c>
      <c r="S720" s="129">
        <v>0</v>
      </c>
      <c r="T720" s="264"/>
      <c r="U720" s="222"/>
    </row>
    <row r="721" spans="1:21" s="204" customFormat="1" ht="27" customHeight="1" hidden="1" outlineLevel="1">
      <c r="A721" s="274">
        <f>IF(B721&lt;&gt;"",SUBTOTAL(103,$D$7:$D721),"")</f>
      </c>
      <c r="B721" s="220">
        <f>IF(C721&lt;&gt;"",SUBTOTAL(103,$C$706:$C721),"")</f>
      </c>
      <c r="C721" s="245"/>
      <c r="D721" s="47"/>
      <c r="E721" s="42"/>
      <c r="F721" s="42"/>
      <c r="G721" s="42"/>
      <c r="H721" s="42"/>
      <c r="I721" s="42"/>
      <c r="J721" s="45"/>
      <c r="K721" s="56"/>
      <c r="L721" s="45">
        <v>42491</v>
      </c>
      <c r="M721" s="45">
        <v>42705</v>
      </c>
      <c r="N721" s="128">
        <f t="shared" si="48"/>
        <v>8</v>
      </c>
      <c r="O721" s="129">
        <v>1210000</v>
      </c>
      <c r="P721" s="129">
        <f t="shared" si="47"/>
        <v>14520000</v>
      </c>
      <c r="Q721" s="129">
        <f>N721*O721*1.5</f>
        <v>14520000</v>
      </c>
      <c r="R721" s="129">
        <v>0</v>
      </c>
      <c r="S721" s="129">
        <v>0</v>
      </c>
      <c r="T721" s="264"/>
      <c r="U721" s="222"/>
    </row>
    <row r="722" spans="1:21" s="204" customFormat="1" ht="27" customHeight="1" collapsed="1">
      <c r="A722" s="274">
        <f>IF(B722&lt;&gt;"",SUBTOTAL(103,$D$7:$D722),"")</f>
        <v>351</v>
      </c>
      <c r="B722" s="220">
        <f>IF(C722&lt;&gt;"",SUBTOTAL(103,$C$706:$C722),"")</f>
        <v>10</v>
      </c>
      <c r="C722" s="245" t="s">
        <v>1356</v>
      </c>
      <c r="D722" s="47" t="s">
        <v>1357</v>
      </c>
      <c r="E722" s="42" t="s">
        <v>1358</v>
      </c>
      <c r="F722" s="42" t="s">
        <v>1359</v>
      </c>
      <c r="G722" s="42" t="s">
        <v>341</v>
      </c>
      <c r="H722" s="42" t="s">
        <v>1360</v>
      </c>
      <c r="I722" s="42" t="s">
        <v>2173</v>
      </c>
      <c r="J722" s="45">
        <v>42186</v>
      </c>
      <c r="K722" s="56">
        <v>0</v>
      </c>
      <c r="L722" s="45">
        <v>42186</v>
      </c>
      <c r="M722" s="45">
        <v>42705</v>
      </c>
      <c r="N722" s="128">
        <f t="shared" si="48"/>
        <v>18</v>
      </c>
      <c r="O722" s="129"/>
      <c r="P722" s="129">
        <f t="shared" si="47"/>
        <v>53770000</v>
      </c>
      <c r="Q722" s="129">
        <f>SUM(Q723:Q724)</f>
        <v>31770000</v>
      </c>
      <c r="R722" s="129">
        <f>11000000+11000000</f>
        <v>22000000</v>
      </c>
      <c r="S722" s="129">
        <v>0</v>
      </c>
      <c r="T722" s="264" t="s">
        <v>1361</v>
      </c>
      <c r="U722" s="240">
        <v>42639</v>
      </c>
    </row>
    <row r="723" spans="1:21" s="204" customFormat="1" ht="27" customHeight="1" hidden="1" outlineLevel="1">
      <c r="A723" s="274">
        <f>IF(B723&lt;&gt;"",SUBTOTAL(103,$D$7:$D723),"")</f>
      </c>
      <c r="B723" s="220">
        <f>IF(C723&lt;&gt;"",SUBTOTAL(103,$C$706:$C723),"")</f>
      </c>
      <c r="C723" s="245"/>
      <c r="D723" s="47"/>
      <c r="E723" s="42"/>
      <c r="F723" s="42"/>
      <c r="G723" s="42"/>
      <c r="H723" s="42"/>
      <c r="I723" s="42"/>
      <c r="J723" s="45"/>
      <c r="K723" s="56"/>
      <c r="L723" s="45">
        <v>42186</v>
      </c>
      <c r="M723" s="45">
        <v>42461</v>
      </c>
      <c r="N723" s="128">
        <f t="shared" si="48"/>
        <v>10</v>
      </c>
      <c r="O723" s="129">
        <v>1150000</v>
      </c>
      <c r="P723" s="129">
        <f t="shared" si="47"/>
        <v>17250000</v>
      </c>
      <c r="Q723" s="129">
        <f>N723*O723*1.5</f>
        <v>17250000</v>
      </c>
      <c r="R723" s="129">
        <v>0</v>
      </c>
      <c r="S723" s="129"/>
      <c r="T723" s="264"/>
      <c r="U723" s="222"/>
    </row>
    <row r="724" spans="1:21" s="204" customFormat="1" ht="27" customHeight="1" hidden="1" outlineLevel="1">
      <c r="A724" s="274">
        <f>IF(B724&lt;&gt;"",SUBTOTAL(103,$D$7:$D724),"")</f>
      </c>
      <c r="B724" s="220">
        <f>IF(C724&lt;&gt;"",SUBTOTAL(103,$C$706:$C724),"")</f>
      </c>
      <c r="C724" s="245"/>
      <c r="D724" s="47"/>
      <c r="E724" s="42"/>
      <c r="F724" s="42"/>
      <c r="G724" s="42"/>
      <c r="H724" s="42"/>
      <c r="I724" s="42"/>
      <c r="J724" s="45"/>
      <c r="K724" s="56"/>
      <c r="L724" s="45">
        <v>42491</v>
      </c>
      <c r="M724" s="45">
        <v>42705</v>
      </c>
      <c r="N724" s="128">
        <f t="shared" si="48"/>
        <v>8</v>
      </c>
      <c r="O724" s="129">
        <v>1210000</v>
      </c>
      <c r="P724" s="129">
        <f t="shared" si="47"/>
        <v>14520000</v>
      </c>
      <c r="Q724" s="129">
        <f>N724*O724*1.5</f>
        <v>14520000</v>
      </c>
      <c r="R724" s="129">
        <v>0</v>
      </c>
      <c r="S724" s="129"/>
      <c r="T724" s="264"/>
      <c r="U724" s="222"/>
    </row>
    <row r="725" spans="1:21" s="204" customFormat="1" ht="27" customHeight="1" collapsed="1">
      <c r="A725" s="274">
        <f>IF(B725&lt;&gt;"",SUBTOTAL(103,$D$7:$D725),"")</f>
        <v>352</v>
      </c>
      <c r="B725" s="220">
        <f>IF(C725&lt;&gt;"",SUBTOTAL(103,$C$706:$C725),"")</f>
        <v>11</v>
      </c>
      <c r="C725" s="245" t="s">
        <v>1362</v>
      </c>
      <c r="D725" s="47" t="s">
        <v>1363</v>
      </c>
      <c r="E725" s="42" t="s">
        <v>2165</v>
      </c>
      <c r="F725" s="42" t="s">
        <v>1364</v>
      </c>
      <c r="G725" s="42" t="s">
        <v>341</v>
      </c>
      <c r="H725" s="42" t="s">
        <v>1365</v>
      </c>
      <c r="I725" s="42" t="s">
        <v>1366</v>
      </c>
      <c r="J725" s="45">
        <v>42401</v>
      </c>
      <c r="K725" s="56">
        <v>0</v>
      </c>
      <c r="L725" s="45">
        <v>42401</v>
      </c>
      <c r="M725" s="45">
        <v>42705</v>
      </c>
      <c r="N725" s="128">
        <f t="shared" si="48"/>
        <v>11</v>
      </c>
      <c r="O725" s="129"/>
      <c r="P725" s="129">
        <f t="shared" si="47"/>
        <v>60695000</v>
      </c>
      <c r="Q725" s="129">
        <f>SUM(Q726:Q727)</f>
        <v>19695000</v>
      </c>
      <c r="R725" s="129">
        <f>21000000+18250000+1750000</f>
        <v>41000000</v>
      </c>
      <c r="S725" s="129">
        <v>0</v>
      </c>
      <c r="T725" s="264" t="s">
        <v>1367</v>
      </c>
      <c r="U725" s="240">
        <v>42639</v>
      </c>
    </row>
    <row r="726" spans="1:21" s="204" customFormat="1" ht="27" customHeight="1" hidden="1" outlineLevel="1">
      <c r="A726" s="274">
        <f>IF(B726&lt;&gt;"",SUBTOTAL(103,$D$7:$D726),"")</f>
      </c>
      <c r="B726" s="220">
        <f>IF(C726&lt;&gt;"",SUBTOTAL(103,$C$706:$C726),"")</f>
      </c>
      <c r="C726" s="245"/>
      <c r="D726" s="47"/>
      <c r="E726" s="42"/>
      <c r="F726" s="42"/>
      <c r="G726" s="42"/>
      <c r="H726" s="42"/>
      <c r="I726" s="42"/>
      <c r="J726" s="45"/>
      <c r="K726" s="56"/>
      <c r="L726" s="45">
        <v>42401</v>
      </c>
      <c r="M726" s="45">
        <v>42461</v>
      </c>
      <c r="N726" s="128">
        <f t="shared" si="48"/>
        <v>3</v>
      </c>
      <c r="O726" s="129">
        <v>1150000</v>
      </c>
      <c r="P726" s="129">
        <f t="shared" si="47"/>
        <v>5175000</v>
      </c>
      <c r="Q726" s="129">
        <f>N726*O726*1.5</f>
        <v>5175000</v>
      </c>
      <c r="R726" s="129">
        <v>0</v>
      </c>
      <c r="S726" s="129"/>
      <c r="T726" s="264"/>
      <c r="U726" s="222"/>
    </row>
    <row r="727" spans="1:21" s="204" customFormat="1" ht="27" customHeight="1" hidden="1" outlineLevel="1">
      <c r="A727" s="274">
        <f>IF(B727&lt;&gt;"",SUBTOTAL(103,$D$7:$D727),"")</f>
      </c>
      <c r="B727" s="220">
        <f>IF(C727&lt;&gt;"",SUBTOTAL(103,$C$706:$C727),"")</f>
      </c>
      <c r="C727" s="245"/>
      <c r="D727" s="47"/>
      <c r="E727" s="42"/>
      <c r="F727" s="42"/>
      <c r="G727" s="42"/>
      <c r="H727" s="42"/>
      <c r="I727" s="42"/>
      <c r="J727" s="45"/>
      <c r="K727" s="56"/>
      <c r="L727" s="45">
        <v>42491</v>
      </c>
      <c r="M727" s="45">
        <v>42705</v>
      </c>
      <c r="N727" s="128">
        <f t="shared" si="48"/>
        <v>8</v>
      </c>
      <c r="O727" s="129">
        <v>1210000</v>
      </c>
      <c r="P727" s="129">
        <f t="shared" si="47"/>
        <v>14520000</v>
      </c>
      <c r="Q727" s="129">
        <f>N727*O727*1.5</f>
        <v>14520000</v>
      </c>
      <c r="R727" s="129">
        <v>0</v>
      </c>
      <c r="S727" s="129"/>
      <c r="T727" s="264"/>
      <c r="U727" s="222"/>
    </row>
    <row r="728" spans="1:21" s="204" customFormat="1" ht="27" customHeight="1" collapsed="1">
      <c r="A728" s="274">
        <f>IF(B728&lt;&gt;"",SUBTOTAL(103,$D$7:$D728),"")</f>
        <v>353</v>
      </c>
      <c r="B728" s="220">
        <f>IF(C728&lt;&gt;"",SUBTOTAL(103,$C$706:$C728),"")</f>
        <v>12</v>
      </c>
      <c r="C728" s="245" t="s">
        <v>1368</v>
      </c>
      <c r="D728" s="47" t="s">
        <v>887</v>
      </c>
      <c r="E728" s="42" t="s">
        <v>789</v>
      </c>
      <c r="F728" s="42" t="s">
        <v>1369</v>
      </c>
      <c r="G728" s="42" t="s">
        <v>341</v>
      </c>
      <c r="H728" s="42" t="s">
        <v>1370</v>
      </c>
      <c r="I728" s="42" t="s">
        <v>1371</v>
      </c>
      <c r="J728" s="45">
        <v>41760</v>
      </c>
      <c r="K728" s="56">
        <v>0</v>
      </c>
      <c r="L728" s="45">
        <v>41760</v>
      </c>
      <c r="M728" s="45">
        <v>42644</v>
      </c>
      <c r="N728" s="128">
        <f t="shared" si="48"/>
        <v>30</v>
      </c>
      <c r="O728" s="129"/>
      <c r="P728" s="129">
        <f t="shared" si="47"/>
        <v>89990000</v>
      </c>
      <c r="Q728" s="129">
        <f>SUM(Q729:Q730)</f>
        <v>52290000</v>
      </c>
      <c r="R728" s="129">
        <f>15250000+15250000+6000000+1200000</f>
        <v>37700000</v>
      </c>
      <c r="S728" s="129">
        <v>0</v>
      </c>
      <c r="T728" s="264"/>
      <c r="U728" s="240">
        <v>42639</v>
      </c>
    </row>
    <row r="729" spans="1:21" s="204" customFormat="1" ht="27" customHeight="1" hidden="1" outlineLevel="1">
      <c r="A729" s="274">
        <f>IF(B729&lt;&gt;"",SUBTOTAL(103,$D$7:$D729),"")</f>
      </c>
      <c r="B729" s="220">
        <f>IF(C729&lt;&gt;"",SUBTOTAL(103,$C$706:$C729),"")</f>
      </c>
      <c r="C729" s="245"/>
      <c r="D729" s="47"/>
      <c r="E729" s="42"/>
      <c r="F729" s="42"/>
      <c r="G729" s="42"/>
      <c r="H729" s="42"/>
      <c r="I729" s="42"/>
      <c r="J729" s="45"/>
      <c r="K729" s="56"/>
      <c r="L729" s="45">
        <v>41760</v>
      </c>
      <c r="M729" s="45">
        <v>42461</v>
      </c>
      <c r="N729" s="128">
        <f t="shared" si="48"/>
        <v>24</v>
      </c>
      <c r="O729" s="129">
        <v>1150000</v>
      </c>
      <c r="P729" s="129">
        <f t="shared" si="47"/>
        <v>41400000</v>
      </c>
      <c r="Q729" s="129">
        <f>N729*O729*1.5</f>
        <v>41400000</v>
      </c>
      <c r="R729" s="129">
        <v>0</v>
      </c>
      <c r="S729" s="129"/>
      <c r="T729" s="264"/>
      <c r="U729" s="222"/>
    </row>
    <row r="730" spans="1:21" s="204" customFormat="1" ht="27" customHeight="1" hidden="1" outlineLevel="1">
      <c r="A730" s="274">
        <f>IF(B730&lt;&gt;"",SUBTOTAL(103,$D$7:$D730),"")</f>
      </c>
      <c r="B730" s="220">
        <f>IF(C730&lt;&gt;"",SUBTOTAL(103,$C$706:$C730),"")</f>
      </c>
      <c r="C730" s="245"/>
      <c r="D730" s="47"/>
      <c r="E730" s="42"/>
      <c r="F730" s="42"/>
      <c r="G730" s="42"/>
      <c r="H730" s="42"/>
      <c r="I730" s="42"/>
      <c r="J730" s="45"/>
      <c r="K730" s="56"/>
      <c r="L730" s="45">
        <v>42491</v>
      </c>
      <c r="M730" s="45">
        <v>42644</v>
      </c>
      <c r="N730" s="128">
        <f t="shared" si="48"/>
        <v>6</v>
      </c>
      <c r="O730" s="129">
        <v>1210000</v>
      </c>
      <c r="P730" s="129">
        <f t="shared" si="47"/>
        <v>10890000</v>
      </c>
      <c r="Q730" s="129">
        <f>N730*O730*1.5</f>
        <v>10890000</v>
      </c>
      <c r="R730" s="129">
        <v>0</v>
      </c>
      <c r="S730" s="129"/>
      <c r="T730" s="264"/>
      <c r="U730" s="222"/>
    </row>
    <row r="731" spans="1:21" s="204" customFormat="1" ht="27" customHeight="1" collapsed="1">
      <c r="A731" s="274">
        <f>IF(B731&lt;&gt;"",SUBTOTAL(103,$D$7:$D731),"")</f>
        <v>354</v>
      </c>
      <c r="B731" s="220">
        <f>IF(C731&lt;&gt;"",SUBTOTAL(103,$C$706:$C731),"")</f>
        <v>13</v>
      </c>
      <c r="C731" s="245" t="s">
        <v>1116</v>
      </c>
      <c r="D731" s="47" t="s">
        <v>805</v>
      </c>
      <c r="E731" s="42" t="s">
        <v>314</v>
      </c>
      <c r="F731" s="42" t="s">
        <v>806</v>
      </c>
      <c r="G731" s="42" t="s">
        <v>341</v>
      </c>
      <c r="H731" s="42" t="s">
        <v>728</v>
      </c>
      <c r="I731" s="42" t="s">
        <v>980</v>
      </c>
      <c r="J731" s="45">
        <v>41974</v>
      </c>
      <c r="K731" s="56">
        <v>13</v>
      </c>
      <c r="L731" s="45">
        <v>42370</v>
      </c>
      <c r="M731" s="45">
        <v>42705</v>
      </c>
      <c r="N731" s="128">
        <f t="shared" si="48"/>
        <v>12</v>
      </c>
      <c r="O731" s="129"/>
      <c r="P731" s="129">
        <f>Q731+R731+S731</f>
        <v>55670000</v>
      </c>
      <c r="Q731" s="129">
        <f>SUM(Q732:Q733)</f>
        <v>21420000</v>
      </c>
      <c r="R731" s="129">
        <f>16250000+18000000</f>
        <v>34250000</v>
      </c>
      <c r="S731" s="129">
        <v>0</v>
      </c>
      <c r="T731" s="264" t="s">
        <v>1372</v>
      </c>
      <c r="U731" s="240">
        <v>42640</v>
      </c>
    </row>
    <row r="732" spans="1:21" s="204" customFormat="1" ht="27" customHeight="1" hidden="1" outlineLevel="1">
      <c r="A732" s="274">
        <f>IF(B732&lt;&gt;"",SUBTOTAL(103,$D$7:$D732),"")</f>
      </c>
      <c r="B732" s="220">
        <f>IF(C732&lt;&gt;"",SUBTOTAL(103,$C$706:$C732),"")</f>
      </c>
      <c r="C732" s="245"/>
      <c r="D732" s="47"/>
      <c r="E732" s="42"/>
      <c r="F732" s="42"/>
      <c r="G732" s="42"/>
      <c r="H732" s="42"/>
      <c r="I732" s="42"/>
      <c r="J732" s="45"/>
      <c r="K732" s="56"/>
      <c r="L732" s="45">
        <v>42370</v>
      </c>
      <c r="M732" s="45">
        <v>42461</v>
      </c>
      <c r="N732" s="128">
        <f t="shared" si="48"/>
        <v>4</v>
      </c>
      <c r="O732" s="129">
        <v>1150000</v>
      </c>
      <c r="P732" s="129">
        <f>SUM(Q732:S732)</f>
        <v>6900000</v>
      </c>
      <c r="Q732" s="129">
        <f>N732*O732*1.5</f>
        <v>6900000</v>
      </c>
      <c r="R732" s="129">
        <v>0</v>
      </c>
      <c r="S732" s="129"/>
      <c r="T732" s="264"/>
      <c r="U732" s="222"/>
    </row>
    <row r="733" spans="1:21" s="204" customFormat="1" ht="27" customHeight="1" hidden="1" outlineLevel="1">
      <c r="A733" s="274">
        <f>IF(B733&lt;&gt;"",SUBTOTAL(103,$D$7:$D733),"")</f>
      </c>
      <c r="B733" s="220">
        <f>IF(C733&lt;&gt;"",SUBTOTAL(103,$C$706:$C733),"")</f>
      </c>
      <c r="C733" s="245"/>
      <c r="D733" s="47"/>
      <c r="E733" s="42"/>
      <c r="F733" s="42"/>
      <c r="G733" s="42"/>
      <c r="H733" s="42"/>
      <c r="I733" s="42"/>
      <c r="J733" s="45"/>
      <c r="K733" s="56"/>
      <c r="L733" s="45">
        <v>42491</v>
      </c>
      <c r="M733" s="45">
        <v>42705</v>
      </c>
      <c r="N733" s="128">
        <f t="shared" si="48"/>
        <v>8</v>
      </c>
      <c r="O733" s="129">
        <v>1210000</v>
      </c>
      <c r="P733" s="129">
        <f>SUM(Q733:S733)</f>
        <v>14520000</v>
      </c>
      <c r="Q733" s="129">
        <f>N733*O733*1.5</f>
        <v>14520000</v>
      </c>
      <c r="R733" s="129">
        <v>0</v>
      </c>
      <c r="S733" s="129"/>
      <c r="T733" s="264"/>
      <c r="U733" s="222"/>
    </row>
    <row r="734" spans="1:21" s="204" customFormat="1" ht="27" customHeight="1" collapsed="1">
      <c r="A734" s="274">
        <f>IF(B734&lt;&gt;"",SUBTOTAL(103,$D$7:$D734),"")</f>
        <v>355</v>
      </c>
      <c r="B734" s="220">
        <f>IF(C734&lt;&gt;"",SUBTOTAL(103,$C$706:$C734),"")</f>
        <v>14</v>
      </c>
      <c r="C734" s="245" t="s">
        <v>383</v>
      </c>
      <c r="D734" s="47" t="s">
        <v>884</v>
      </c>
      <c r="E734" s="42" t="s">
        <v>314</v>
      </c>
      <c r="F734" s="42" t="s">
        <v>885</v>
      </c>
      <c r="G734" s="42" t="s">
        <v>341</v>
      </c>
      <c r="H734" s="42" t="s">
        <v>655</v>
      </c>
      <c r="I734" s="42" t="s">
        <v>886</v>
      </c>
      <c r="J734" s="45">
        <v>41640</v>
      </c>
      <c r="K734" s="56">
        <v>24</v>
      </c>
      <c r="L734" s="45">
        <v>42370</v>
      </c>
      <c r="M734" s="45">
        <v>42522</v>
      </c>
      <c r="N734" s="128">
        <f t="shared" si="48"/>
        <v>6</v>
      </c>
      <c r="O734" s="129"/>
      <c r="P734" s="129">
        <f>Q734+R734+S734</f>
        <v>39530000</v>
      </c>
      <c r="Q734" s="129">
        <f>SUM(Q735:Q736)</f>
        <v>10530000</v>
      </c>
      <c r="R734" s="129">
        <v>29000000</v>
      </c>
      <c r="S734" s="129">
        <v>0</v>
      </c>
      <c r="T734" s="264" t="s">
        <v>1373</v>
      </c>
      <c r="U734" s="240">
        <v>42640</v>
      </c>
    </row>
    <row r="735" spans="1:21" s="204" customFormat="1" ht="27" customHeight="1" hidden="1" outlineLevel="1">
      <c r="A735" s="274">
        <f>IF(B735&lt;&gt;"",SUBTOTAL(103,$D$7:$D735),"")</f>
      </c>
      <c r="B735" s="220">
        <f>IF(C735&lt;&gt;"",SUBTOTAL(103,$C$706:$C735),"")</f>
      </c>
      <c r="C735" s="245"/>
      <c r="D735" s="47"/>
      <c r="E735" s="42"/>
      <c r="F735" s="42"/>
      <c r="G735" s="42"/>
      <c r="H735" s="42"/>
      <c r="I735" s="42"/>
      <c r="J735" s="45"/>
      <c r="K735" s="56"/>
      <c r="L735" s="45">
        <v>42370</v>
      </c>
      <c r="M735" s="45">
        <v>42461</v>
      </c>
      <c r="N735" s="128">
        <f t="shared" si="48"/>
        <v>4</v>
      </c>
      <c r="O735" s="129">
        <v>1150000</v>
      </c>
      <c r="P735" s="129">
        <f>SUM(Q735:S735)</f>
        <v>6900000</v>
      </c>
      <c r="Q735" s="129">
        <f>N735*O735*1.5</f>
        <v>6900000</v>
      </c>
      <c r="R735" s="129">
        <v>0</v>
      </c>
      <c r="S735" s="129"/>
      <c r="T735" s="264"/>
      <c r="U735" s="222"/>
    </row>
    <row r="736" spans="1:21" s="204" customFormat="1" ht="27" customHeight="1" hidden="1" outlineLevel="1">
      <c r="A736" s="274">
        <f>IF(B736&lt;&gt;"",SUBTOTAL(103,$D$7:$D736),"")</f>
      </c>
      <c r="B736" s="220">
        <f>IF(C736&lt;&gt;"",SUBTOTAL(103,$C$706:$C736),"")</f>
      </c>
      <c r="C736" s="245"/>
      <c r="D736" s="47"/>
      <c r="E736" s="42"/>
      <c r="F736" s="42"/>
      <c r="G736" s="42"/>
      <c r="H736" s="42"/>
      <c r="I736" s="42"/>
      <c r="J736" s="45"/>
      <c r="K736" s="56"/>
      <c r="L736" s="45">
        <v>42491</v>
      </c>
      <c r="M736" s="45">
        <v>42522</v>
      </c>
      <c r="N736" s="128">
        <f t="shared" si="48"/>
        <v>2</v>
      </c>
      <c r="O736" s="129">
        <v>1210000</v>
      </c>
      <c r="P736" s="129">
        <f>SUM(Q736:S736)</f>
        <v>3630000</v>
      </c>
      <c r="Q736" s="129">
        <f>N736*O736*1.5</f>
        <v>3630000</v>
      </c>
      <c r="R736" s="129">
        <v>0</v>
      </c>
      <c r="S736" s="129"/>
      <c r="T736" s="264"/>
      <c r="U736" s="222"/>
    </row>
    <row r="737" spans="1:21" s="204" customFormat="1" ht="27" customHeight="1" collapsed="1">
      <c r="A737" s="274">
        <f>IF(B737&lt;&gt;"",SUBTOTAL(103,$D$7:$D737),"")</f>
        <v>356</v>
      </c>
      <c r="B737" s="220">
        <f>IF(C737&lt;&gt;"",SUBTOTAL(103,$C$706:$C737),"")</f>
        <v>15</v>
      </c>
      <c r="C737" s="245" t="s">
        <v>221</v>
      </c>
      <c r="D737" s="47" t="s">
        <v>165</v>
      </c>
      <c r="E737" s="42" t="s">
        <v>166</v>
      </c>
      <c r="F737" s="42" t="s">
        <v>552</v>
      </c>
      <c r="G737" s="42" t="s">
        <v>341</v>
      </c>
      <c r="H737" s="42" t="s">
        <v>317</v>
      </c>
      <c r="I737" s="42" t="s">
        <v>1037</v>
      </c>
      <c r="J737" s="45">
        <v>41913</v>
      </c>
      <c r="K737" s="56">
        <v>15</v>
      </c>
      <c r="L737" s="45">
        <v>42370</v>
      </c>
      <c r="M737" s="45">
        <v>42705</v>
      </c>
      <c r="N737" s="128">
        <f t="shared" si="48"/>
        <v>12</v>
      </c>
      <c r="O737" s="129"/>
      <c r="P737" s="129">
        <f>Q737+R737+S737</f>
        <v>51820000</v>
      </c>
      <c r="Q737" s="129">
        <f>SUM(Q738:Q739)</f>
        <v>21420000</v>
      </c>
      <c r="R737" s="129">
        <f>13700000+16700000</f>
        <v>30400000</v>
      </c>
      <c r="S737" s="129">
        <v>0</v>
      </c>
      <c r="T737" s="264" t="s">
        <v>1374</v>
      </c>
      <c r="U737" s="240">
        <v>42640</v>
      </c>
    </row>
    <row r="738" spans="1:21" s="204" customFormat="1" ht="27" customHeight="1" hidden="1" outlineLevel="1">
      <c r="A738" s="274">
        <f>IF(B738&lt;&gt;"",SUBTOTAL(103,$D$7:$D738),"")</f>
      </c>
      <c r="B738" s="220">
        <f>IF(C738&lt;&gt;"",SUBTOTAL(103,$C$706:$C738),"")</f>
      </c>
      <c r="C738" s="245"/>
      <c r="D738" s="47"/>
      <c r="E738" s="42"/>
      <c r="F738" s="42"/>
      <c r="G738" s="42"/>
      <c r="H738" s="42"/>
      <c r="I738" s="42"/>
      <c r="J738" s="45"/>
      <c r="K738" s="56"/>
      <c r="L738" s="45">
        <v>42370</v>
      </c>
      <c r="M738" s="45">
        <v>42461</v>
      </c>
      <c r="N738" s="128">
        <f t="shared" si="48"/>
        <v>4</v>
      </c>
      <c r="O738" s="129">
        <v>1150000</v>
      </c>
      <c r="P738" s="129">
        <f>SUM(Q738:S738)</f>
        <v>6900000</v>
      </c>
      <c r="Q738" s="129">
        <f>N738*O738*1.5</f>
        <v>6900000</v>
      </c>
      <c r="R738" s="129"/>
      <c r="S738" s="129"/>
      <c r="T738" s="264"/>
      <c r="U738" s="222"/>
    </row>
    <row r="739" spans="1:21" s="204" customFormat="1" ht="27" customHeight="1" hidden="1" outlineLevel="1">
      <c r="A739" s="274">
        <f>IF(B739&lt;&gt;"",SUBTOTAL(103,$D$7:$D739),"")</f>
      </c>
      <c r="B739" s="220">
        <f>IF(C739&lt;&gt;"",SUBTOTAL(103,$C$706:$C739),"")</f>
      </c>
      <c r="C739" s="245"/>
      <c r="D739" s="47"/>
      <c r="E739" s="42"/>
      <c r="F739" s="42"/>
      <c r="G739" s="42"/>
      <c r="H739" s="42"/>
      <c r="I739" s="42"/>
      <c r="J739" s="45"/>
      <c r="K739" s="56"/>
      <c r="L739" s="45">
        <v>42491</v>
      </c>
      <c r="M739" s="45">
        <v>42705</v>
      </c>
      <c r="N739" s="128">
        <f t="shared" si="48"/>
        <v>8</v>
      </c>
      <c r="O739" s="129">
        <v>1210000</v>
      </c>
      <c r="P739" s="129">
        <f>SUM(Q739:S739)</f>
        <v>14520000</v>
      </c>
      <c r="Q739" s="129">
        <f>N739*O739*1.5</f>
        <v>14520000</v>
      </c>
      <c r="R739" s="129"/>
      <c r="S739" s="129"/>
      <c r="T739" s="264"/>
      <c r="U739" s="222"/>
    </row>
    <row r="740" spans="1:21" s="204" customFormat="1" ht="27" customHeight="1" collapsed="1">
      <c r="A740" s="274">
        <f>IF(B740&lt;&gt;"",SUBTOTAL(103,$D$7:$D740),"")</f>
        <v>357</v>
      </c>
      <c r="B740" s="220">
        <f>IF(C740&lt;&gt;"",SUBTOTAL(103,$C$706:$C740),"")</f>
        <v>16</v>
      </c>
      <c r="C740" s="245" t="s">
        <v>220</v>
      </c>
      <c r="D740" s="47" t="s">
        <v>807</v>
      </c>
      <c r="E740" s="42" t="s">
        <v>314</v>
      </c>
      <c r="F740" s="42" t="s">
        <v>808</v>
      </c>
      <c r="G740" s="42" t="s">
        <v>341</v>
      </c>
      <c r="H740" s="42" t="s">
        <v>124</v>
      </c>
      <c r="I740" s="42" t="s">
        <v>980</v>
      </c>
      <c r="J740" s="45">
        <v>41944</v>
      </c>
      <c r="K740" s="56">
        <v>14</v>
      </c>
      <c r="L740" s="45">
        <v>42370</v>
      </c>
      <c r="M740" s="45">
        <v>42522</v>
      </c>
      <c r="N740" s="128">
        <f t="shared" si="48"/>
        <v>6</v>
      </c>
      <c r="O740" s="129"/>
      <c r="P740" s="129">
        <f>Q740+R740+S740</f>
        <v>39530000</v>
      </c>
      <c r="Q740" s="129">
        <f>SUM(Q741:Q742)</f>
        <v>10530000</v>
      </c>
      <c r="R740" s="129">
        <f>13750000+15250000</f>
        <v>29000000</v>
      </c>
      <c r="S740" s="129">
        <v>0</v>
      </c>
      <c r="T740" s="264" t="s">
        <v>1375</v>
      </c>
      <c r="U740" s="240">
        <v>42640</v>
      </c>
    </row>
    <row r="741" spans="1:21" s="204" customFormat="1" ht="27" customHeight="1" hidden="1" outlineLevel="1">
      <c r="A741" s="274">
        <f>IF(B741&lt;&gt;"",SUBTOTAL(103,$D$7:$D741),"")</f>
      </c>
      <c r="B741" s="220">
        <f>IF(C741&lt;&gt;"",SUBTOTAL(103,$C$706:$C741),"")</f>
      </c>
      <c r="C741" s="245"/>
      <c r="D741" s="47"/>
      <c r="E741" s="42"/>
      <c r="F741" s="42"/>
      <c r="G741" s="42"/>
      <c r="H741" s="42"/>
      <c r="I741" s="42"/>
      <c r="J741" s="45"/>
      <c r="K741" s="56"/>
      <c r="L741" s="45">
        <v>42370</v>
      </c>
      <c r="M741" s="45">
        <v>42461</v>
      </c>
      <c r="N741" s="128">
        <f t="shared" si="48"/>
        <v>4</v>
      </c>
      <c r="O741" s="129">
        <v>1150000</v>
      </c>
      <c r="P741" s="129">
        <f>SUM(Q741:S741)</f>
        <v>6900000</v>
      </c>
      <c r="Q741" s="129">
        <f>N741*O741*1.5</f>
        <v>6900000</v>
      </c>
      <c r="R741" s="129"/>
      <c r="S741" s="129"/>
      <c r="T741" s="264"/>
      <c r="U741" s="222"/>
    </row>
    <row r="742" spans="1:21" s="204" customFormat="1" ht="27" customHeight="1" hidden="1" outlineLevel="1">
      <c r="A742" s="274">
        <f>IF(B742&lt;&gt;"",SUBTOTAL(103,$D$7:$D742),"")</f>
      </c>
      <c r="B742" s="220">
        <f>IF(C742&lt;&gt;"",SUBTOTAL(103,$C$706:$C742),"")</f>
      </c>
      <c r="C742" s="245"/>
      <c r="D742" s="47"/>
      <c r="E742" s="42"/>
      <c r="F742" s="42"/>
      <c r="G742" s="42"/>
      <c r="H742" s="42"/>
      <c r="I742" s="42"/>
      <c r="J742" s="45"/>
      <c r="K742" s="56"/>
      <c r="L742" s="45">
        <v>42491</v>
      </c>
      <c r="M742" s="45">
        <v>42522</v>
      </c>
      <c r="N742" s="128">
        <f t="shared" si="48"/>
        <v>2</v>
      </c>
      <c r="O742" s="129">
        <v>1210000</v>
      </c>
      <c r="P742" s="129">
        <f>SUM(Q742:S742)</f>
        <v>3630000</v>
      </c>
      <c r="Q742" s="129">
        <f>N742*O742*1.5</f>
        <v>3630000</v>
      </c>
      <c r="R742" s="129"/>
      <c r="S742" s="129"/>
      <c r="T742" s="264"/>
      <c r="U742" s="222"/>
    </row>
    <row r="743" spans="1:21" s="204" customFormat="1" ht="27" customHeight="1" collapsed="1">
      <c r="A743" s="274">
        <f>IF(B743&lt;&gt;"",SUBTOTAL(103,$D$7:$D743),"")</f>
        <v>358</v>
      </c>
      <c r="B743" s="220">
        <f>IF(C743&lt;&gt;"",SUBTOTAL(103,$C$706:$C743),"")</f>
        <v>17</v>
      </c>
      <c r="C743" s="245" t="s">
        <v>1376</v>
      </c>
      <c r="D743" s="47" t="s">
        <v>1377</v>
      </c>
      <c r="E743" s="42" t="s">
        <v>789</v>
      </c>
      <c r="F743" s="42" t="s">
        <v>1378</v>
      </c>
      <c r="G743" s="42" t="s">
        <v>1198</v>
      </c>
      <c r="H743" s="42" t="s">
        <v>1379</v>
      </c>
      <c r="I743" s="42" t="s">
        <v>980</v>
      </c>
      <c r="J743" s="45">
        <v>42278</v>
      </c>
      <c r="K743" s="56">
        <v>0</v>
      </c>
      <c r="L743" s="45">
        <v>42278</v>
      </c>
      <c r="M743" s="45">
        <v>42705</v>
      </c>
      <c r="N743" s="128">
        <f t="shared" si="48"/>
        <v>15</v>
      </c>
      <c r="O743" s="129"/>
      <c r="P743" s="129">
        <f>Q743+R743+S743</f>
        <v>36595000</v>
      </c>
      <c r="Q743" s="129">
        <f>SUM(Q744:Q745)</f>
        <v>26595000</v>
      </c>
      <c r="R743" s="129">
        <f>10000000</f>
        <v>10000000</v>
      </c>
      <c r="S743" s="129">
        <v>0</v>
      </c>
      <c r="T743" s="264" t="s">
        <v>1384</v>
      </c>
      <c r="U743" s="240">
        <v>42640</v>
      </c>
    </row>
    <row r="744" spans="1:21" s="204" customFormat="1" ht="27" customHeight="1" hidden="1" outlineLevel="1">
      <c r="A744" s="274">
        <f>IF(B744&lt;&gt;"",SUBTOTAL(103,$D$7:$D744),"")</f>
      </c>
      <c r="B744" s="220">
        <f>IF(C744&lt;&gt;"",SUBTOTAL(103,$C$706:$C744),"")</f>
      </c>
      <c r="C744" s="245"/>
      <c r="D744" s="47"/>
      <c r="E744" s="42"/>
      <c r="F744" s="42"/>
      <c r="G744" s="42"/>
      <c r="H744" s="42"/>
      <c r="I744" s="42"/>
      <c r="J744" s="45"/>
      <c r="K744" s="56"/>
      <c r="L744" s="45">
        <v>42278</v>
      </c>
      <c r="M744" s="45">
        <v>42461</v>
      </c>
      <c r="N744" s="128">
        <f t="shared" si="48"/>
        <v>7</v>
      </c>
      <c r="O744" s="129">
        <v>1150000</v>
      </c>
      <c r="P744" s="129">
        <f>SUM(Q744:S744)</f>
        <v>12075000</v>
      </c>
      <c r="Q744" s="129">
        <f>N744*O744*1.5</f>
        <v>12075000</v>
      </c>
      <c r="R744" s="129">
        <v>0</v>
      </c>
      <c r="S744" s="129"/>
      <c r="T744" s="264"/>
      <c r="U744" s="222"/>
    </row>
    <row r="745" spans="1:21" s="204" customFormat="1" ht="27" customHeight="1" hidden="1" outlineLevel="1">
      <c r="A745" s="274">
        <f>IF(B745&lt;&gt;"",SUBTOTAL(103,$D$7:$D745),"")</f>
      </c>
      <c r="B745" s="220">
        <f>IF(C745&lt;&gt;"",SUBTOTAL(103,$C$706:$C745),"")</f>
      </c>
      <c r="C745" s="245"/>
      <c r="D745" s="47"/>
      <c r="E745" s="42"/>
      <c r="F745" s="42"/>
      <c r="G745" s="42"/>
      <c r="H745" s="42"/>
      <c r="I745" s="42"/>
      <c r="J745" s="45"/>
      <c r="K745" s="56"/>
      <c r="L745" s="45">
        <v>42491</v>
      </c>
      <c r="M745" s="45">
        <v>42705</v>
      </c>
      <c r="N745" s="128">
        <f t="shared" si="48"/>
        <v>8</v>
      </c>
      <c r="O745" s="129">
        <v>1210000</v>
      </c>
      <c r="P745" s="129">
        <f>SUM(Q745:S745)</f>
        <v>14520000</v>
      </c>
      <c r="Q745" s="129">
        <f>N745*O745*1.5</f>
        <v>14520000</v>
      </c>
      <c r="R745" s="129">
        <v>0</v>
      </c>
      <c r="S745" s="129"/>
      <c r="T745" s="264"/>
      <c r="U745" s="222"/>
    </row>
    <row r="746" spans="1:21" s="204" customFormat="1" ht="27" customHeight="1" collapsed="1">
      <c r="A746" s="274">
        <f>IF(B746&lt;&gt;"",SUBTOTAL(103,$D$7:$D746),"")</f>
        <v>359</v>
      </c>
      <c r="B746" s="220">
        <f>IF(C746&lt;&gt;"",SUBTOTAL(103,$C$706:$C746),"")</f>
        <v>18</v>
      </c>
      <c r="C746" s="245" t="s">
        <v>1380</v>
      </c>
      <c r="D746" s="47" t="s">
        <v>1381</v>
      </c>
      <c r="E746" s="42" t="s">
        <v>789</v>
      </c>
      <c r="F746" s="42" t="s">
        <v>1382</v>
      </c>
      <c r="G746" s="42" t="s">
        <v>1198</v>
      </c>
      <c r="H746" s="42" t="s">
        <v>1383</v>
      </c>
      <c r="I746" s="42" t="s">
        <v>980</v>
      </c>
      <c r="J746" s="45">
        <v>42278</v>
      </c>
      <c r="K746" s="56">
        <v>0</v>
      </c>
      <c r="L746" s="45">
        <v>42278</v>
      </c>
      <c r="M746" s="45">
        <v>42705</v>
      </c>
      <c r="N746" s="128">
        <f>DATEDIF(L746,M746,"m")+1</f>
        <v>15</v>
      </c>
      <c r="O746" s="129"/>
      <c r="P746" s="129">
        <f>Q746+R746+S746</f>
        <v>36595000</v>
      </c>
      <c r="Q746" s="129">
        <f>SUM(Q747:Q748)</f>
        <v>26595000</v>
      </c>
      <c r="R746" s="129">
        <f>10000000</f>
        <v>10000000</v>
      </c>
      <c r="S746" s="129">
        <v>0</v>
      </c>
      <c r="T746" s="264" t="s">
        <v>1384</v>
      </c>
      <c r="U746" s="240">
        <v>42640</v>
      </c>
    </row>
    <row r="747" spans="1:21" s="204" customFormat="1" ht="27" customHeight="1" hidden="1" outlineLevel="1">
      <c r="A747" s="274">
        <f>IF(B747&lt;&gt;"",SUBTOTAL(103,$D$7:$D747),"")</f>
      </c>
      <c r="B747" s="220">
        <f>IF(C747&lt;&gt;"",SUBTOTAL(103,$C$706:$C747),"")</f>
      </c>
      <c r="C747" s="245"/>
      <c r="D747" s="47"/>
      <c r="E747" s="42"/>
      <c r="F747" s="42"/>
      <c r="G747" s="42"/>
      <c r="H747" s="42"/>
      <c r="I747" s="42"/>
      <c r="J747" s="45"/>
      <c r="K747" s="56"/>
      <c r="L747" s="45">
        <v>42278</v>
      </c>
      <c r="M747" s="45">
        <v>42461</v>
      </c>
      <c r="N747" s="128">
        <f>DATEDIF(L747,M747,"m")+1</f>
        <v>7</v>
      </c>
      <c r="O747" s="129">
        <v>1150000</v>
      </c>
      <c r="P747" s="129">
        <f>SUM(Q747:S747)</f>
        <v>12075000</v>
      </c>
      <c r="Q747" s="129">
        <f>N747*O747*1.5</f>
        <v>12075000</v>
      </c>
      <c r="R747" s="129">
        <v>0</v>
      </c>
      <c r="S747" s="129"/>
      <c r="T747" s="264"/>
      <c r="U747" s="222"/>
    </row>
    <row r="748" spans="1:21" s="204" customFormat="1" ht="27" customHeight="1" hidden="1" outlineLevel="1">
      <c r="A748" s="274">
        <f>IF(B748&lt;&gt;"",SUBTOTAL(103,$D$7:$D748),"")</f>
      </c>
      <c r="B748" s="220">
        <f>IF(C748&lt;&gt;"",SUBTOTAL(103,$C$706:$C748),"")</f>
      </c>
      <c r="C748" s="245"/>
      <c r="D748" s="47"/>
      <c r="E748" s="42"/>
      <c r="F748" s="42"/>
      <c r="G748" s="42"/>
      <c r="H748" s="42"/>
      <c r="I748" s="42"/>
      <c r="J748" s="45"/>
      <c r="K748" s="56"/>
      <c r="L748" s="45">
        <v>42491</v>
      </c>
      <c r="M748" s="45">
        <v>42705</v>
      </c>
      <c r="N748" s="128">
        <f>DATEDIF(L748,M748,"m")+1</f>
        <v>8</v>
      </c>
      <c r="O748" s="129">
        <v>1210000</v>
      </c>
      <c r="P748" s="129">
        <f>SUM(Q748:S748)</f>
        <v>14520000</v>
      </c>
      <c r="Q748" s="129">
        <f>N748*O748*1.5</f>
        <v>14520000</v>
      </c>
      <c r="R748" s="129">
        <v>0</v>
      </c>
      <c r="S748" s="129"/>
      <c r="T748" s="264"/>
      <c r="U748" s="222"/>
    </row>
    <row r="749" spans="1:21" s="204" customFormat="1" ht="27" customHeight="1" collapsed="1">
      <c r="A749" s="274">
        <f>IF(B749&lt;&gt;"",SUBTOTAL(103,$D$7:$D749),"")</f>
        <v>360</v>
      </c>
      <c r="B749" s="220">
        <f>IF(C749&lt;&gt;"",SUBTOTAL(103,$C$706:$C749),"")</f>
        <v>19</v>
      </c>
      <c r="C749" s="245" t="s">
        <v>456</v>
      </c>
      <c r="D749" s="47" t="s">
        <v>457</v>
      </c>
      <c r="E749" s="42" t="s">
        <v>458</v>
      </c>
      <c r="F749" s="42" t="s">
        <v>459</v>
      </c>
      <c r="G749" s="42" t="s">
        <v>341</v>
      </c>
      <c r="H749" s="42" t="s">
        <v>448</v>
      </c>
      <c r="I749" s="42" t="s">
        <v>460</v>
      </c>
      <c r="J749" s="45">
        <v>41153</v>
      </c>
      <c r="K749" s="56">
        <v>30</v>
      </c>
      <c r="L749" s="362"/>
      <c r="M749" s="363"/>
      <c r="N749" s="128">
        <v>0</v>
      </c>
      <c r="O749" s="129">
        <v>1150000</v>
      </c>
      <c r="P749" s="129">
        <f>Q749+R749+S749</f>
        <v>18000000</v>
      </c>
      <c r="Q749" s="129">
        <f>N749*O749*1.5</f>
        <v>0</v>
      </c>
      <c r="R749" s="129">
        <f>8000000+10000000</f>
        <v>18000000</v>
      </c>
      <c r="S749" s="129">
        <v>0</v>
      </c>
      <c r="T749" s="264" t="s">
        <v>1386</v>
      </c>
      <c r="U749" s="240">
        <v>42640</v>
      </c>
    </row>
    <row r="750" spans="1:21" s="204" customFormat="1" ht="27" customHeight="1">
      <c r="A750" s="274">
        <f>IF(B750&lt;&gt;"",SUBTOTAL(103,$D$7:$D750),"")</f>
        <v>361</v>
      </c>
      <c r="B750" s="220">
        <f>IF(C750&lt;&gt;"",SUBTOTAL(103,$C$706:$C750),"")</f>
        <v>20</v>
      </c>
      <c r="C750" s="245" t="s">
        <v>1387</v>
      </c>
      <c r="D750" s="47" t="s">
        <v>1388</v>
      </c>
      <c r="E750" s="42" t="s">
        <v>1389</v>
      </c>
      <c r="F750" s="42" t="s">
        <v>1390</v>
      </c>
      <c r="G750" s="42" t="s">
        <v>1198</v>
      </c>
      <c r="H750" s="42" t="s">
        <v>1391</v>
      </c>
      <c r="I750" s="42" t="s">
        <v>1392</v>
      </c>
      <c r="J750" s="45">
        <v>42278</v>
      </c>
      <c r="K750" s="56">
        <v>0</v>
      </c>
      <c r="L750" s="45">
        <v>42278</v>
      </c>
      <c r="M750" s="45">
        <v>42705</v>
      </c>
      <c r="N750" s="128">
        <f>DATEDIF(L750,M750,"m")+1</f>
        <v>15</v>
      </c>
      <c r="O750" s="129"/>
      <c r="P750" s="129">
        <f>Q750+R750+S750</f>
        <v>34845000</v>
      </c>
      <c r="Q750" s="129">
        <f>SUM(Q751:Q752)</f>
        <v>26595000</v>
      </c>
      <c r="R750" s="129">
        <f>8250000</f>
        <v>8250000</v>
      </c>
      <c r="S750" s="129">
        <v>0</v>
      </c>
      <c r="T750" s="264" t="s">
        <v>1393</v>
      </c>
      <c r="U750" s="240">
        <v>42640</v>
      </c>
    </row>
    <row r="751" spans="1:21" s="204" customFormat="1" ht="27" customHeight="1" hidden="1" outlineLevel="1">
      <c r="A751" s="274">
        <f>IF(B751&lt;&gt;"",SUBTOTAL(103,$D$7:$D751),"")</f>
      </c>
      <c r="B751" s="220">
        <f>IF(C751&lt;&gt;"",SUBTOTAL(103,$C$706:$C751),"")</f>
      </c>
      <c r="C751" s="245"/>
      <c r="D751" s="47"/>
      <c r="E751" s="42"/>
      <c r="F751" s="42"/>
      <c r="G751" s="42"/>
      <c r="H751" s="42"/>
      <c r="I751" s="42"/>
      <c r="J751" s="45"/>
      <c r="K751" s="56"/>
      <c r="L751" s="45">
        <v>42278</v>
      </c>
      <c r="M751" s="45">
        <v>42461</v>
      </c>
      <c r="N751" s="128">
        <f>DATEDIF(L751,M751,"m")+1</f>
        <v>7</v>
      </c>
      <c r="O751" s="129">
        <v>1150000</v>
      </c>
      <c r="P751" s="129">
        <f>SUM(Q751:S751)</f>
        <v>12075000</v>
      </c>
      <c r="Q751" s="129">
        <f>N751*O751*1.5</f>
        <v>12075000</v>
      </c>
      <c r="R751" s="129">
        <v>0</v>
      </c>
      <c r="S751" s="129"/>
      <c r="T751" s="264"/>
      <c r="U751" s="222"/>
    </row>
    <row r="752" spans="1:21" s="204" customFormat="1" ht="27" customHeight="1" hidden="1" outlineLevel="1">
      <c r="A752" s="274">
        <f>IF(B752&lt;&gt;"",SUBTOTAL(103,$D$7:$D752),"")</f>
      </c>
      <c r="B752" s="220">
        <f>IF(C752&lt;&gt;"",SUBTOTAL(103,$C$706:$C752),"")</f>
      </c>
      <c r="C752" s="245"/>
      <c r="D752" s="47"/>
      <c r="E752" s="42"/>
      <c r="F752" s="42"/>
      <c r="G752" s="42"/>
      <c r="H752" s="42"/>
      <c r="I752" s="42"/>
      <c r="J752" s="45"/>
      <c r="K752" s="56"/>
      <c r="L752" s="45">
        <v>42491</v>
      </c>
      <c r="M752" s="45">
        <v>42705</v>
      </c>
      <c r="N752" s="128">
        <f>DATEDIF(L752,M752,"m")+1</f>
        <v>8</v>
      </c>
      <c r="O752" s="129">
        <v>1210000</v>
      </c>
      <c r="P752" s="129">
        <f>SUM(Q752:S752)</f>
        <v>14520000</v>
      </c>
      <c r="Q752" s="129">
        <f>N752*O752*1.5</f>
        <v>14520000</v>
      </c>
      <c r="R752" s="129">
        <v>0</v>
      </c>
      <c r="S752" s="129"/>
      <c r="T752" s="264"/>
      <c r="U752" s="222"/>
    </row>
    <row r="753" spans="1:21" s="204" customFormat="1" ht="27" customHeight="1" collapsed="1">
      <c r="A753" s="274">
        <f>IF(B753&lt;&gt;"",SUBTOTAL(103,$D$7:$D753),"")</f>
        <v>362</v>
      </c>
      <c r="B753" s="220">
        <f>IF(C753&lt;&gt;"",SUBTOTAL(103,$C$706:$C753),"")</f>
        <v>21</v>
      </c>
      <c r="C753" s="245" t="s">
        <v>49</v>
      </c>
      <c r="D753" s="47" t="s">
        <v>272</v>
      </c>
      <c r="E753" s="42" t="s">
        <v>314</v>
      </c>
      <c r="F753" s="42" t="s">
        <v>273</v>
      </c>
      <c r="G753" s="42" t="s">
        <v>341</v>
      </c>
      <c r="H753" s="42" t="s">
        <v>274</v>
      </c>
      <c r="I753" s="42" t="s">
        <v>275</v>
      </c>
      <c r="J753" s="45">
        <v>41214</v>
      </c>
      <c r="K753" s="56">
        <v>30</v>
      </c>
      <c r="L753" s="362"/>
      <c r="M753" s="363"/>
      <c r="N753" s="128">
        <v>0</v>
      </c>
      <c r="O753" s="129">
        <v>1150000</v>
      </c>
      <c r="P753" s="129">
        <f>Q753+R753+S753</f>
        <v>9000000</v>
      </c>
      <c r="Q753" s="129">
        <f>N753*O753*1.5</f>
        <v>0</v>
      </c>
      <c r="R753" s="129">
        <v>9000000</v>
      </c>
      <c r="S753" s="129">
        <v>0</v>
      </c>
      <c r="T753" s="264" t="s">
        <v>1394</v>
      </c>
      <c r="U753" s="240">
        <v>42640</v>
      </c>
    </row>
    <row r="754" spans="1:21" s="204" customFormat="1" ht="27" customHeight="1">
      <c r="A754" s="274">
        <f>IF(B754&lt;&gt;"",SUBTOTAL(103,$D$7:$D754),"")</f>
        <v>363</v>
      </c>
      <c r="B754" s="220">
        <f>IF(C754&lt;&gt;"",SUBTOTAL(103,$C$706:$C754),"")</f>
        <v>22</v>
      </c>
      <c r="C754" s="245" t="s">
        <v>1395</v>
      </c>
      <c r="D754" s="47" t="s">
        <v>1396</v>
      </c>
      <c r="E754" s="42" t="s">
        <v>1397</v>
      </c>
      <c r="F754" s="42" t="s">
        <v>1398</v>
      </c>
      <c r="G754" s="42" t="s">
        <v>1198</v>
      </c>
      <c r="H754" s="42" t="s">
        <v>1399</v>
      </c>
      <c r="I754" s="42" t="s">
        <v>1400</v>
      </c>
      <c r="J754" s="45">
        <v>42278</v>
      </c>
      <c r="K754" s="56">
        <v>0</v>
      </c>
      <c r="L754" s="45">
        <v>42278</v>
      </c>
      <c r="M754" s="45">
        <v>42705</v>
      </c>
      <c r="N754" s="128">
        <f aca="true" t="shared" si="49" ref="N754:N771">DATEDIF(L754,M754,"m")+1</f>
        <v>15</v>
      </c>
      <c r="O754" s="129"/>
      <c r="P754" s="129">
        <f>Q754+R754+S754</f>
        <v>59685000</v>
      </c>
      <c r="Q754" s="129">
        <f>SUM(Q755:Q756)</f>
        <v>26595000</v>
      </c>
      <c r="R754" s="129">
        <f>10650000+10200000+12240000</f>
        <v>33090000</v>
      </c>
      <c r="S754" s="129">
        <v>0</v>
      </c>
      <c r="T754" s="264" t="s">
        <v>1401</v>
      </c>
      <c r="U754" s="222"/>
    </row>
    <row r="755" spans="1:21" s="204" customFormat="1" ht="27" customHeight="1" hidden="1" outlineLevel="1">
      <c r="A755" s="274">
        <f>IF(B755&lt;&gt;"",SUBTOTAL(103,$D$7:$D755),"")</f>
      </c>
      <c r="B755" s="220">
        <f>IF(C755&lt;&gt;"",SUBTOTAL(103,$C$706:$C755),"")</f>
      </c>
      <c r="C755" s="245"/>
      <c r="D755" s="47"/>
      <c r="E755" s="42"/>
      <c r="F755" s="42"/>
      <c r="G755" s="42"/>
      <c r="H755" s="42"/>
      <c r="I755" s="42"/>
      <c r="J755" s="45"/>
      <c r="K755" s="56"/>
      <c r="L755" s="45">
        <v>42278</v>
      </c>
      <c r="M755" s="45">
        <v>42461</v>
      </c>
      <c r="N755" s="128">
        <f t="shared" si="49"/>
        <v>7</v>
      </c>
      <c r="O755" s="129">
        <v>1150000</v>
      </c>
      <c r="P755" s="129">
        <f>SUM(Q755:S755)</f>
        <v>12075000</v>
      </c>
      <c r="Q755" s="129">
        <f>N755*O755*1.5</f>
        <v>12075000</v>
      </c>
      <c r="R755" s="129">
        <v>0</v>
      </c>
      <c r="S755" s="129"/>
      <c r="T755" s="264"/>
      <c r="U755" s="222"/>
    </row>
    <row r="756" spans="1:21" s="204" customFormat="1" ht="27" customHeight="1" hidden="1" outlineLevel="1">
      <c r="A756" s="274">
        <f>IF(B756&lt;&gt;"",SUBTOTAL(103,$D$7:$D756),"")</f>
      </c>
      <c r="B756" s="220">
        <f>IF(C756&lt;&gt;"",SUBTOTAL(103,$C$706:$C756),"")</f>
      </c>
      <c r="C756" s="245"/>
      <c r="D756" s="47"/>
      <c r="E756" s="42"/>
      <c r="F756" s="42"/>
      <c r="G756" s="42"/>
      <c r="H756" s="42"/>
      <c r="I756" s="42"/>
      <c r="J756" s="45"/>
      <c r="K756" s="56"/>
      <c r="L756" s="45">
        <v>42491</v>
      </c>
      <c r="M756" s="45">
        <v>42705</v>
      </c>
      <c r="N756" s="128">
        <f t="shared" si="49"/>
        <v>8</v>
      </c>
      <c r="O756" s="129">
        <v>1210000</v>
      </c>
      <c r="P756" s="129">
        <f>SUM(Q756:S756)</f>
        <v>14520000</v>
      </c>
      <c r="Q756" s="129">
        <f>N756*O756*1.5</f>
        <v>14520000</v>
      </c>
      <c r="R756" s="129">
        <v>0</v>
      </c>
      <c r="S756" s="129"/>
      <c r="T756" s="264"/>
      <c r="U756" s="222"/>
    </row>
    <row r="757" spans="1:21" s="204" customFormat="1" ht="27" customHeight="1" collapsed="1">
      <c r="A757" s="274">
        <f>IF(B757&lt;&gt;"",SUBTOTAL(103,$D$7:$D757),"")</f>
        <v>364</v>
      </c>
      <c r="B757" s="220">
        <f>IF(C757&lt;&gt;"",SUBTOTAL(103,$C$706:$C757),"")</f>
        <v>23</v>
      </c>
      <c r="C757" s="245" t="s">
        <v>1402</v>
      </c>
      <c r="D757" s="47" t="s">
        <v>1396</v>
      </c>
      <c r="E757" s="42" t="s">
        <v>1403</v>
      </c>
      <c r="F757" s="42" t="s">
        <v>1404</v>
      </c>
      <c r="G757" s="42" t="s">
        <v>1198</v>
      </c>
      <c r="H757" s="42" t="s">
        <v>1370</v>
      </c>
      <c r="I757" s="42" t="s">
        <v>1405</v>
      </c>
      <c r="J757" s="45">
        <v>42186</v>
      </c>
      <c r="K757" s="56">
        <v>0</v>
      </c>
      <c r="L757" s="45">
        <v>42186</v>
      </c>
      <c r="M757" s="45">
        <v>42705</v>
      </c>
      <c r="N757" s="128">
        <f t="shared" si="49"/>
        <v>18</v>
      </c>
      <c r="O757" s="129"/>
      <c r="P757" s="129">
        <f>Q757+R757+S757</f>
        <v>56170000</v>
      </c>
      <c r="Q757" s="129">
        <f>SUM(Q758:Q759)</f>
        <v>31770000</v>
      </c>
      <c r="R757" s="129">
        <f>9150000+4250000+4000000+7000000</f>
        <v>24400000</v>
      </c>
      <c r="S757" s="129">
        <v>0</v>
      </c>
      <c r="T757" s="264" t="s">
        <v>1406</v>
      </c>
      <c r="U757" s="222"/>
    </row>
    <row r="758" spans="1:21" s="204" customFormat="1" ht="27" customHeight="1" hidden="1" outlineLevel="1">
      <c r="A758" s="274">
        <f>IF(B758&lt;&gt;"",SUBTOTAL(103,$D$7:$D758),"")</f>
      </c>
      <c r="B758" s="220">
        <f>IF(C758&lt;&gt;"",SUBTOTAL(103,$C$706:$C758),"")</f>
      </c>
      <c r="C758" s="245"/>
      <c r="D758" s="47"/>
      <c r="E758" s="42"/>
      <c r="F758" s="42"/>
      <c r="G758" s="42"/>
      <c r="H758" s="42"/>
      <c r="I758" s="42"/>
      <c r="J758" s="45"/>
      <c r="K758" s="56"/>
      <c r="L758" s="45">
        <v>42186</v>
      </c>
      <c r="M758" s="45">
        <v>42461</v>
      </c>
      <c r="N758" s="128">
        <f t="shared" si="49"/>
        <v>10</v>
      </c>
      <c r="O758" s="129">
        <v>1150000</v>
      </c>
      <c r="P758" s="129">
        <f>SUM(Q758:S758)</f>
        <v>17250000</v>
      </c>
      <c r="Q758" s="129">
        <f>N758*O758*1.5</f>
        <v>17250000</v>
      </c>
      <c r="R758" s="129">
        <v>0</v>
      </c>
      <c r="S758" s="129"/>
      <c r="T758" s="217"/>
      <c r="U758" s="222"/>
    </row>
    <row r="759" spans="1:21" s="204" customFormat="1" ht="27" customHeight="1" hidden="1" outlineLevel="1">
      <c r="A759" s="274">
        <f>IF(B759&lt;&gt;"",SUBTOTAL(103,$D$7:$D759),"")</f>
      </c>
      <c r="B759" s="220">
        <f>IF(C759&lt;&gt;"",SUBTOTAL(103,$C$706:$C759),"")</f>
      </c>
      <c r="C759" s="245"/>
      <c r="D759" s="47"/>
      <c r="E759" s="42"/>
      <c r="F759" s="42"/>
      <c r="G759" s="42"/>
      <c r="H759" s="42"/>
      <c r="I759" s="42"/>
      <c r="J759" s="45"/>
      <c r="K759" s="56"/>
      <c r="L759" s="45">
        <v>42491</v>
      </c>
      <c r="M759" s="45">
        <v>42705</v>
      </c>
      <c r="N759" s="128">
        <f t="shared" si="49"/>
        <v>8</v>
      </c>
      <c r="O759" s="129">
        <v>1210000</v>
      </c>
      <c r="P759" s="129">
        <f>SUM(Q759:S759)</f>
        <v>14520000</v>
      </c>
      <c r="Q759" s="129">
        <f>N759*O759*1.5</f>
        <v>14520000</v>
      </c>
      <c r="R759" s="129">
        <v>0</v>
      </c>
      <c r="S759" s="129"/>
      <c r="T759" s="264"/>
      <c r="U759" s="222"/>
    </row>
    <row r="760" spans="1:21" s="204" customFormat="1" ht="27" customHeight="1" collapsed="1">
      <c r="A760" s="274">
        <f>IF(B760&lt;&gt;"",SUBTOTAL(103,$D$7:$D760),"")</f>
        <v>365</v>
      </c>
      <c r="B760" s="220">
        <f>IF(C760&lt;&gt;"",SUBTOTAL(103,$C$706:$C760),"")</f>
        <v>24</v>
      </c>
      <c r="C760" s="245" t="s">
        <v>809</v>
      </c>
      <c r="D760" s="47" t="s">
        <v>810</v>
      </c>
      <c r="E760" s="42" t="s">
        <v>314</v>
      </c>
      <c r="F760" s="42" t="s">
        <v>811</v>
      </c>
      <c r="G760" s="42" t="s">
        <v>341</v>
      </c>
      <c r="H760" s="42" t="s">
        <v>124</v>
      </c>
      <c r="I760" s="42" t="s">
        <v>980</v>
      </c>
      <c r="J760" s="45">
        <v>41944</v>
      </c>
      <c r="K760" s="56">
        <v>14</v>
      </c>
      <c r="L760" s="45">
        <v>42370</v>
      </c>
      <c r="M760" s="45">
        <v>42705</v>
      </c>
      <c r="N760" s="128">
        <f t="shared" si="49"/>
        <v>12</v>
      </c>
      <c r="O760" s="129"/>
      <c r="P760" s="129">
        <f>Q760+R760+S760</f>
        <v>35170000</v>
      </c>
      <c r="Q760" s="129">
        <f>SUM(Q761:Q762)</f>
        <v>21420000</v>
      </c>
      <c r="R760" s="129">
        <f>13750000</f>
        <v>13750000</v>
      </c>
      <c r="S760" s="129">
        <v>0</v>
      </c>
      <c r="T760" s="264"/>
      <c r="U760" s="222"/>
    </row>
    <row r="761" spans="1:21" s="204" customFormat="1" ht="27" customHeight="1" hidden="1" outlineLevel="1">
      <c r="A761" s="274">
        <f>IF(B761&lt;&gt;"",SUBTOTAL(103,$D$7:$D761),"")</f>
      </c>
      <c r="B761" s="220">
        <f>IF(C761&lt;&gt;"",SUBTOTAL(103,$C$706:$C761),"")</f>
      </c>
      <c r="C761" s="245"/>
      <c r="D761" s="47"/>
      <c r="E761" s="42"/>
      <c r="F761" s="42"/>
      <c r="G761" s="42"/>
      <c r="H761" s="42"/>
      <c r="I761" s="42"/>
      <c r="J761" s="45"/>
      <c r="K761" s="56"/>
      <c r="L761" s="45">
        <v>42370</v>
      </c>
      <c r="M761" s="45">
        <v>42461</v>
      </c>
      <c r="N761" s="128">
        <f t="shared" si="49"/>
        <v>4</v>
      </c>
      <c r="O761" s="129">
        <v>1150000</v>
      </c>
      <c r="P761" s="129">
        <f>SUM(Q761:S761)</f>
        <v>6900000</v>
      </c>
      <c r="Q761" s="129">
        <f>N761*O761*1.5</f>
        <v>6900000</v>
      </c>
      <c r="R761" s="129">
        <v>0</v>
      </c>
      <c r="S761" s="129"/>
      <c r="T761" s="264"/>
      <c r="U761" s="222"/>
    </row>
    <row r="762" spans="1:21" s="204" customFormat="1" ht="27" customHeight="1" hidden="1" outlineLevel="1">
      <c r="A762" s="274">
        <f>IF(B762&lt;&gt;"",SUBTOTAL(103,$D$7:$D762),"")</f>
      </c>
      <c r="B762" s="220">
        <f>IF(C762&lt;&gt;"",SUBTOTAL(103,$C$706:$C762),"")</f>
      </c>
      <c r="C762" s="245"/>
      <c r="D762" s="47"/>
      <c r="E762" s="42"/>
      <c r="F762" s="42"/>
      <c r="G762" s="42"/>
      <c r="H762" s="42"/>
      <c r="I762" s="42"/>
      <c r="J762" s="45"/>
      <c r="K762" s="56"/>
      <c r="L762" s="45">
        <v>42491</v>
      </c>
      <c r="M762" s="45">
        <v>42705</v>
      </c>
      <c r="N762" s="128">
        <f t="shared" si="49"/>
        <v>8</v>
      </c>
      <c r="O762" s="129">
        <v>1210000</v>
      </c>
      <c r="P762" s="129">
        <f>SUM(Q762:S762)</f>
        <v>14520000</v>
      </c>
      <c r="Q762" s="129">
        <f>N762*O762*1.5</f>
        <v>14520000</v>
      </c>
      <c r="R762" s="129">
        <v>0</v>
      </c>
      <c r="S762" s="129"/>
      <c r="T762" s="264"/>
      <c r="U762" s="222"/>
    </row>
    <row r="763" spans="1:21" s="204" customFormat="1" ht="27" customHeight="1" collapsed="1">
      <c r="A763" s="274">
        <f>IF(B763&lt;&gt;"",SUBTOTAL(103,$D$7:$D763),"")</f>
        <v>366</v>
      </c>
      <c r="B763" s="220">
        <f>IF(C763&lt;&gt;"",SUBTOTAL(103,$C$706:$C763),"")</f>
        <v>25</v>
      </c>
      <c r="C763" s="245" t="s">
        <v>795</v>
      </c>
      <c r="D763" s="47" t="s">
        <v>796</v>
      </c>
      <c r="E763" s="42" t="s">
        <v>314</v>
      </c>
      <c r="F763" s="42" t="s">
        <v>797</v>
      </c>
      <c r="G763" s="42" t="s">
        <v>346</v>
      </c>
      <c r="H763" s="42" t="s">
        <v>631</v>
      </c>
      <c r="I763" s="42" t="s">
        <v>980</v>
      </c>
      <c r="J763" s="45">
        <v>41913</v>
      </c>
      <c r="K763" s="56">
        <v>15</v>
      </c>
      <c r="L763" s="45">
        <v>42370</v>
      </c>
      <c r="M763" s="45">
        <v>42491</v>
      </c>
      <c r="N763" s="128">
        <f t="shared" si="49"/>
        <v>5</v>
      </c>
      <c r="O763" s="129"/>
      <c r="P763" s="129">
        <f>Q763+R763+S763</f>
        <v>26190000</v>
      </c>
      <c r="Q763" s="129">
        <f>SUM(Q764:Q765)</f>
        <v>8715000</v>
      </c>
      <c r="R763" s="129">
        <f>9225000+8250000</f>
        <v>17475000</v>
      </c>
      <c r="S763" s="129">
        <v>0</v>
      </c>
      <c r="T763" s="264" t="s">
        <v>1407</v>
      </c>
      <c r="U763" s="240">
        <v>42640</v>
      </c>
    </row>
    <row r="764" spans="1:21" s="204" customFormat="1" ht="27" customHeight="1" hidden="1" outlineLevel="1">
      <c r="A764" s="274">
        <f>IF(B764&lt;&gt;"",SUBTOTAL(103,$D$7:$D764),"")</f>
      </c>
      <c r="B764" s="220">
        <f>IF(C764&lt;&gt;"",SUBTOTAL(103,$C$706:$C764),"")</f>
      </c>
      <c r="C764" s="245"/>
      <c r="D764" s="47"/>
      <c r="E764" s="42"/>
      <c r="F764" s="42"/>
      <c r="G764" s="42"/>
      <c r="H764" s="42"/>
      <c r="I764" s="42"/>
      <c r="J764" s="45"/>
      <c r="K764" s="56"/>
      <c r="L764" s="45">
        <v>42370</v>
      </c>
      <c r="M764" s="45">
        <v>42461</v>
      </c>
      <c r="N764" s="128">
        <f t="shared" si="49"/>
        <v>4</v>
      </c>
      <c r="O764" s="129">
        <v>1150000</v>
      </c>
      <c r="P764" s="129">
        <f>SUM(Q764:S764)</f>
        <v>6900000</v>
      </c>
      <c r="Q764" s="129">
        <f>N764*O764*1.5</f>
        <v>6900000</v>
      </c>
      <c r="R764" s="129">
        <v>0</v>
      </c>
      <c r="S764" s="129"/>
      <c r="T764" s="264"/>
      <c r="U764" s="222"/>
    </row>
    <row r="765" spans="1:21" s="204" customFormat="1" ht="27" customHeight="1" hidden="1" outlineLevel="1">
      <c r="A765" s="274">
        <f>IF(B765&lt;&gt;"",SUBTOTAL(103,$D$7:$D765),"")</f>
      </c>
      <c r="B765" s="220">
        <f>IF(C765&lt;&gt;"",SUBTOTAL(103,$C$706:$C765),"")</f>
      </c>
      <c r="C765" s="245"/>
      <c r="D765" s="47"/>
      <c r="E765" s="42"/>
      <c r="F765" s="42"/>
      <c r="G765" s="42"/>
      <c r="H765" s="42"/>
      <c r="I765" s="42"/>
      <c r="J765" s="45"/>
      <c r="K765" s="56"/>
      <c r="L765" s="45">
        <v>42491</v>
      </c>
      <c r="M765" s="45">
        <v>42521</v>
      </c>
      <c r="N765" s="128">
        <f t="shared" si="49"/>
        <v>1</v>
      </c>
      <c r="O765" s="129">
        <v>1210000</v>
      </c>
      <c r="P765" s="129">
        <f>SUM(Q765:S765)</f>
        <v>1815000</v>
      </c>
      <c r="Q765" s="129">
        <f>N765*O765*1.5</f>
        <v>1815000</v>
      </c>
      <c r="R765" s="129">
        <v>0</v>
      </c>
      <c r="S765" s="129"/>
      <c r="T765" s="264"/>
      <c r="U765" s="222"/>
    </row>
    <row r="766" spans="1:21" s="204" customFormat="1" ht="27" customHeight="1" collapsed="1">
      <c r="A766" s="274">
        <f>IF(B766&lt;&gt;"",SUBTOTAL(103,$D$7:$D766),"")</f>
        <v>367</v>
      </c>
      <c r="B766" s="220">
        <f>IF(C766&lt;&gt;"",SUBTOTAL(103,$C$706:$C766),"")</f>
        <v>26</v>
      </c>
      <c r="C766" s="245" t="s">
        <v>802</v>
      </c>
      <c r="D766" s="47" t="s">
        <v>803</v>
      </c>
      <c r="E766" s="42" t="s">
        <v>314</v>
      </c>
      <c r="F766" s="42" t="s">
        <v>804</v>
      </c>
      <c r="G766" s="42" t="s">
        <v>341</v>
      </c>
      <c r="H766" s="42" t="s">
        <v>632</v>
      </c>
      <c r="I766" s="42" t="s">
        <v>980</v>
      </c>
      <c r="J766" s="45">
        <v>41974</v>
      </c>
      <c r="K766" s="56">
        <v>13</v>
      </c>
      <c r="L766" s="45">
        <v>42370</v>
      </c>
      <c r="M766" s="45">
        <v>42705</v>
      </c>
      <c r="N766" s="128">
        <f t="shared" si="49"/>
        <v>12</v>
      </c>
      <c r="O766" s="129"/>
      <c r="P766" s="129">
        <f>Q766+R766+S766</f>
        <v>42558000</v>
      </c>
      <c r="Q766" s="129">
        <f>SUM(Q767:Q768)</f>
        <v>21420000</v>
      </c>
      <c r="R766" s="129">
        <f>16250000+4888000</f>
        <v>21138000</v>
      </c>
      <c r="S766" s="129">
        <v>0</v>
      </c>
      <c r="T766" s="264" t="s">
        <v>1385</v>
      </c>
      <c r="U766" s="240">
        <v>42640</v>
      </c>
    </row>
    <row r="767" spans="1:21" s="204" customFormat="1" ht="27" customHeight="1" hidden="1" outlineLevel="1">
      <c r="A767" s="274">
        <f>IF(B767&lt;&gt;"",SUBTOTAL(103,$D$7:$D767),"")</f>
      </c>
      <c r="B767" s="220">
        <f>IF(C767&lt;&gt;"",SUBTOTAL(103,$C$706:$C767),"")</f>
      </c>
      <c r="C767" s="245"/>
      <c r="D767" s="47"/>
      <c r="E767" s="42"/>
      <c r="F767" s="42"/>
      <c r="G767" s="42"/>
      <c r="H767" s="42"/>
      <c r="I767" s="42"/>
      <c r="J767" s="45"/>
      <c r="K767" s="56"/>
      <c r="L767" s="45">
        <v>42370</v>
      </c>
      <c r="M767" s="45">
        <v>42461</v>
      </c>
      <c r="N767" s="128">
        <f t="shared" si="49"/>
        <v>4</v>
      </c>
      <c r="O767" s="129">
        <v>1150000</v>
      </c>
      <c r="P767" s="129">
        <f>SUM(Q767:S767)</f>
        <v>6900000</v>
      </c>
      <c r="Q767" s="129">
        <f>N767*O767*1.5</f>
        <v>6900000</v>
      </c>
      <c r="R767" s="129">
        <v>0</v>
      </c>
      <c r="S767" s="129"/>
      <c r="T767" s="264"/>
      <c r="U767" s="222"/>
    </row>
    <row r="768" spans="1:21" s="204" customFormat="1" ht="27" customHeight="1" hidden="1" outlineLevel="1">
      <c r="A768" s="274">
        <f>IF(B768&lt;&gt;"",SUBTOTAL(103,$D$7:$D768),"")</f>
      </c>
      <c r="B768" s="220">
        <f>IF(C768&lt;&gt;"",SUBTOTAL(103,$C$706:$C768),"")</f>
      </c>
      <c r="C768" s="245"/>
      <c r="D768" s="47"/>
      <c r="E768" s="42"/>
      <c r="F768" s="42"/>
      <c r="G768" s="42"/>
      <c r="H768" s="42"/>
      <c r="I768" s="42"/>
      <c r="J768" s="45"/>
      <c r="K768" s="56"/>
      <c r="L768" s="45">
        <v>42491</v>
      </c>
      <c r="M768" s="45">
        <v>42705</v>
      </c>
      <c r="N768" s="128">
        <f t="shared" si="49"/>
        <v>8</v>
      </c>
      <c r="O768" s="129">
        <v>1210000</v>
      </c>
      <c r="P768" s="129">
        <f>SUM(Q768:S768)</f>
        <v>14520000</v>
      </c>
      <c r="Q768" s="129">
        <f>N768*O768*1.5</f>
        <v>14520000</v>
      </c>
      <c r="R768" s="129">
        <v>0</v>
      </c>
      <c r="S768" s="129"/>
      <c r="T768" s="264"/>
      <c r="U768" s="222"/>
    </row>
    <row r="769" spans="1:21" s="204" customFormat="1" ht="27" customHeight="1" collapsed="1">
      <c r="A769" s="274">
        <f>IF(B769&lt;&gt;"",SUBTOTAL(103,$D$7:$D769),"")</f>
        <v>368</v>
      </c>
      <c r="B769" s="220">
        <f>IF(C769&lt;&gt;"",SUBTOTAL(103,$C$706:$C769),"")</f>
        <v>27</v>
      </c>
      <c r="C769" s="245" t="s">
        <v>879</v>
      </c>
      <c r="D769" s="47" t="s">
        <v>880</v>
      </c>
      <c r="E769" s="42" t="s">
        <v>881</v>
      </c>
      <c r="F769" s="42" t="s">
        <v>882</v>
      </c>
      <c r="G769" s="42" t="s">
        <v>341</v>
      </c>
      <c r="H769" s="42" t="s">
        <v>1764</v>
      </c>
      <c r="I769" s="42" t="s">
        <v>883</v>
      </c>
      <c r="J769" s="45">
        <v>41640</v>
      </c>
      <c r="K769" s="56">
        <v>24</v>
      </c>
      <c r="L769" s="45">
        <v>42370</v>
      </c>
      <c r="M769" s="45">
        <v>42522</v>
      </c>
      <c r="N769" s="128">
        <f t="shared" si="49"/>
        <v>6</v>
      </c>
      <c r="O769" s="129"/>
      <c r="P769" s="129">
        <f>Q769+R769+S769</f>
        <v>44780000</v>
      </c>
      <c r="Q769" s="129">
        <f>SUM(Q770:Q771)</f>
        <v>10530000</v>
      </c>
      <c r="R769" s="129">
        <f>18000000+16250000</f>
        <v>34250000</v>
      </c>
      <c r="S769" s="129">
        <v>0</v>
      </c>
      <c r="T769" s="264" t="s">
        <v>1408</v>
      </c>
      <c r="U769" s="240"/>
    </row>
    <row r="770" spans="1:21" s="204" customFormat="1" ht="27" customHeight="1" hidden="1" outlineLevel="1">
      <c r="A770" s="274">
        <f>IF(B770&lt;&gt;"",SUBTOTAL(103,$D$7:$D770),"")</f>
      </c>
      <c r="B770" s="220">
        <f>IF(C770&lt;&gt;"",SUBTOTAL(103,$C$706:$C770),"")</f>
      </c>
      <c r="C770" s="245"/>
      <c r="D770" s="47"/>
      <c r="E770" s="42"/>
      <c r="F770" s="42"/>
      <c r="G770" s="42"/>
      <c r="H770" s="42"/>
      <c r="I770" s="42"/>
      <c r="J770" s="45"/>
      <c r="K770" s="56"/>
      <c r="L770" s="45">
        <v>42370</v>
      </c>
      <c r="M770" s="45">
        <v>42461</v>
      </c>
      <c r="N770" s="128">
        <f t="shared" si="49"/>
        <v>4</v>
      </c>
      <c r="O770" s="129">
        <v>1150000</v>
      </c>
      <c r="P770" s="129">
        <f>SUM(Q770:S770)</f>
        <v>6900000</v>
      </c>
      <c r="Q770" s="129">
        <f>N770*O770*1.5</f>
        <v>6900000</v>
      </c>
      <c r="R770" s="129">
        <v>0</v>
      </c>
      <c r="S770" s="129"/>
      <c r="T770" s="264"/>
      <c r="U770" s="222"/>
    </row>
    <row r="771" spans="1:21" s="204" customFormat="1" ht="27" customHeight="1" hidden="1" outlineLevel="1">
      <c r="A771" s="274">
        <f>IF(B771&lt;&gt;"",SUBTOTAL(103,$D$7:$D771),"")</f>
      </c>
      <c r="B771" s="220">
        <f>IF(C771&lt;&gt;"",SUBTOTAL(103,$C$706:$C771),"")</f>
      </c>
      <c r="C771" s="245"/>
      <c r="D771" s="47"/>
      <c r="E771" s="42"/>
      <c r="F771" s="42"/>
      <c r="G771" s="42"/>
      <c r="H771" s="42"/>
      <c r="I771" s="42"/>
      <c r="J771" s="45"/>
      <c r="K771" s="56"/>
      <c r="L771" s="45">
        <v>42491</v>
      </c>
      <c r="M771" s="45">
        <v>42522</v>
      </c>
      <c r="N771" s="128">
        <f t="shared" si="49"/>
        <v>2</v>
      </c>
      <c r="O771" s="129">
        <v>1210000</v>
      </c>
      <c r="P771" s="129">
        <f>SUM(Q771:S771)</f>
        <v>3630000</v>
      </c>
      <c r="Q771" s="129">
        <f>N771*O771*1.5</f>
        <v>3630000</v>
      </c>
      <c r="R771" s="129">
        <v>0</v>
      </c>
      <c r="S771" s="129"/>
      <c r="T771" s="264"/>
      <c r="U771" s="222"/>
    </row>
    <row r="772" spans="1:21" s="273" customFormat="1" ht="27" customHeight="1" collapsed="1">
      <c r="A772" s="274">
        <f>IF(B772&lt;&gt;"",SUBTOTAL(103,$D$7:$D772),"")</f>
      </c>
      <c r="B772" s="213"/>
      <c r="C772" s="214" t="s">
        <v>1585</v>
      </c>
      <c r="D772" s="218"/>
      <c r="E772" s="7"/>
      <c r="F772" s="7"/>
      <c r="G772" s="7"/>
      <c r="H772" s="7"/>
      <c r="I772" s="7"/>
      <c r="J772" s="136"/>
      <c r="K772" s="20"/>
      <c r="L772" s="21"/>
      <c r="M772" s="21"/>
      <c r="N772" s="22"/>
      <c r="O772" s="11"/>
      <c r="P772" s="12">
        <f>SUBTOTAL(109,P773:P775)</f>
        <v>134875000</v>
      </c>
      <c r="Q772" s="12">
        <f>SUBTOTAL(109,Q773:Q775)</f>
        <v>0</v>
      </c>
      <c r="R772" s="12">
        <f>SUBTOTAL(109,R773:R775)</f>
        <v>65875000</v>
      </c>
      <c r="S772" s="12">
        <f>SUBTOTAL(109,S773:S775)</f>
        <v>69000000</v>
      </c>
      <c r="T772" s="262"/>
      <c r="U772" s="216"/>
    </row>
    <row r="773" spans="1:21" s="204" customFormat="1" ht="27" customHeight="1">
      <c r="A773" s="274">
        <f>IF(B773&lt;&gt;"",SUBTOTAL(103,$D$7:$D773),"")</f>
        <v>369</v>
      </c>
      <c r="B773" s="274">
        <f>IF(C773&lt;&gt;"",SUBTOTAL(103,$C$773:$C773),"")</f>
        <v>1</v>
      </c>
      <c r="C773" s="245" t="s">
        <v>467</v>
      </c>
      <c r="D773" s="275" t="s">
        <v>468</v>
      </c>
      <c r="E773" s="43" t="s">
        <v>703</v>
      </c>
      <c r="F773" s="43" t="s">
        <v>469</v>
      </c>
      <c r="G773" s="43" t="s">
        <v>341</v>
      </c>
      <c r="H773" s="43" t="s">
        <v>470</v>
      </c>
      <c r="I773" s="43" t="s">
        <v>329</v>
      </c>
      <c r="J773" s="45">
        <v>40817</v>
      </c>
      <c r="K773" s="128">
        <v>30</v>
      </c>
      <c r="L773" s="362"/>
      <c r="M773" s="363"/>
      <c r="N773" s="101">
        <v>0</v>
      </c>
      <c r="O773" s="58">
        <v>1150000</v>
      </c>
      <c r="P773" s="129">
        <f>Q773+R773+S773</f>
        <v>65875000</v>
      </c>
      <c r="Q773" s="129">
        <f>N773*O773*1.5</f>
        <v>0</v>
      </c>
      <c r="R773" s="129">
        <f>64875000+1000000</f>
        <v>65875000</v>
      </c>
      <c r="S773" s="129">
        <v>0</v>
      </c>
      <c r="T773" s="259" t="s">
        <v>1706</v>
      </c>
      <c r="U773" s="241">
        <v>42657</v>
      </c>
    </row>
    <row r="774" spans="1:21" s="204" customFormat="1" ht="27" customHeight="1">
      <c r="A774" s="274">
        <f>IF(B774&lt;&gt;"",SUBTOTAL(103,$D$7:$D774),"")</f>
        <v>370</v>
      </c>
      <c r="B774" s="274">
        <f>IF(C774&lt;&gt;"",SUBTOTAL(103,$C$773:$C774),"")</f>
        <v>2</v>
      </c>
      <c r="C774" s="285" t="s">
        <v>1247</v>
      </c>
      <c r="D774" s="286" t="s">
        <v>1251</v>
      </c>
      <c r="E774" s="243" t="s">
        <v>1248</v>
      </c>
      <c r="F774" s="243" t="s">
        <v>1249</v>
      </c>
      <c r="G774" s="243" t="s">
        <v>346</v>
      </c>
      <c r="H774" s="243" t="s">
        <v>1250</v>
      </c>
      <c r="I774" s="243" t="s">
        <v>1169</v>
      </c>
      <c r="J774" s="287">
        <v>40817</v>
      </c>
      <c r="K774" s="288">
        <v>20</v>
      </c>
      <c r="L774" s="373" t="s">
        <v>46</v>
      </c>
      <c r="M774" s="373"/>
      <c r="N774" s="289">
        <v>0</v>
      </c>
      <c r="O774" s="137">
        <v>1150000</v>
      </c>
      <c r="P774" s="137">
        <f>Q774+R774+S774</f>
        <v>34500000</v>
      </c>
      <c r="Q774" s="222"/>
      <c r="R774" s="129"/>
      <c r="S774" s="290">
        <f>30*O774</f>
        <v>34500000</v>
      </c>
      <c r="T774" s="263" t="s">
        <v>1994</v>
      </c>
      <c r="U774" s="222"/>
    </row>
    <row r="775" spans="1:21" s="204" customFormat="1" ht="27" customHeight="1">
      <c r="A775" s="274">
        <f>IF(B775&lt;&gt;"",SUBTOTAL(103,$D$7:$D775),"")</f>
        <v>371</v>
      </c>
      <c r="B775" s="274">
        <f>IF(C775&lt;&gt;"",SUBTOTAL(103,$C$773:$C775),"")</f>
        <v>3</v>
      </c>
      <c r="C775" s="245" t="s">
        <v>596</v>
      </c>
      <c r="D775" s="275" t="s">
        <v>597</v>
      </c>
      <c r="E775" s="43" t="s">
        <v>598</v>
      </c>
      <c r="F775" s="43" t="s">
        <v>600</v>
      </c>
      <c r="G775" s="43" t="s">
        <v>346</v>
      </c>
      <c r="H775" s="43" t="s">
        <v>1082</v>
      </c>
      <c r="I775" s="42" t="s">
        <v>44</v>
      </c>
      <c r="J775" s="45">
        <v>41609</v>
      </c>
      <c r="K775" s="56">
        <v>20</v>
      </c>
      <c r="L775" s="362" t="s">
        <v>46</v>
      </c>
      <c r="M775" s="363"/>
      <c r="N775" s="128">
        <v>0</v>
      </c>
      <c r="O775" s="129">
        <v>1150000</v>
      </c>
      <c r="P775" s="129">
        <f>Q775+R775+S775</f>
        <v>34500000</v>
      </c>
      <c r="Q775" s="129">
        <f>N775*O775*1.5</f>
        <v>0</v>
      </c>
      <c r="R775" s="297">
        <v>0</v>
      </c>
      <c r="S775" s="129">
        <f>30*O775</f>
        <v>34500000</v>
      </c>
      <c r="T775" s="256" t="s">
        <v>2082</v>
      </c>
      <c r="U775" s="241">
        <v>42657</v>
      </c>
    </row>
    <row r="776" spans="1:21" s="273" customFormat="1" ht="27" customHeight="1">
      <c r="A776" s="227"/>
      <c r="B776" s="227"/>
      <c r="C776" s="60" t="s">
        <v>328</v>
      </c>
      <c r="D776" s="228"/>
      <c r="E776" s="60"/>
      <c r="F776" s="60"/>
      <c r="G776" s="60"/>
      <c r="H776" s="60"/>
      <c r="I776" s="60"/>
      <c r="J776" s="60"/>
      <c r="K776" s="61"/>
      <c r="L776" s="62"/>
      <c r="M776" s="62"/>
      <c r="N776" s="63"/>
      <c r="O776" s="64"/>
      <c r="P776" s="229">
        <f>P22+P491+P6+P8+P12+P16+P19+P25+P29+P48+P55+P71+P77+P80+P258+P270+P281+P286+P290+P302+P327+P355+P369+P384+P403+P411+P436+P447+P463+P467+P471+P487+P493+P498+P503+P505+P507+P541+P543+P553+P556+P558+P577+P585+P587+P590+P640+P687+P693+P698+P701+P705+P772</f>
        <v>17442117000</v>
      </c>
      <c r="Q776" s="229">
        <f>Q22+Q491+Q6+Q8+Q12+Q16+Q19+Q25+Q29+Q48+Q55+Q71+Q77+Q80+Q258+Q270+Q281+Q286+Q290+Q302+Q327+Q355+Q369+Q384+Q403+Q411+Q436+Q447+Q463+Q467+Q471+Q487+Q493+Q498+Q503+Q505+Q507+Q541+Q543+Q553+Q556+Q558+Q577+Q585+Q587+Q590+Q640+Q687+Q693+Q698+Q701+Q705+Q772</f>
        <v>5724285000</v>
      </c>
      <c r="R776" s="229">
        <f>R22+R491+R6+R8+R12+R16+R19+R25+R29+R48+R55+R71+R77+R80+R258+R270+R281+R286+R290+R302+R327+R355+R369+R384+R403+R411+R436+R447+R463+R467+R471+R487+R493+R498+R503+R505+R507+R541+R543+R553+R556+R558+R577+R585+R587+R590+R640+R687+R693+R698+R701+R705+R772</f>
        <v>5190032000</v>
      </c>
      <c r="S776" s="229">
        <f>S22+S491+S6+S8+S12+S16+S19+S25+S29+S48+S55+S71+S77+S80+S258+S270+S281+S286+S290+S302+S327+S355+S369+S384+S403+S411+S436+S447+S463+S467+S471+S487+S493+S498+S503+S505+S507+S541+S543+S553+S556+S558+S577+S585+S587+S590+S640+S687+S693+S698+S701+S705+S772</f>
        <v>6527800000</v>
      </c>
      <c r="T776" s="271"/>
      <c r="U776" s="230"/>
    </row>
    <row r="778" spans="1:19" ht="16.5">
      <c r="A778" s="372" t="s">
        <v>2184</v>
      </c>
      <c r="B778" s="372"/>
      <c r="C778" s="372"/>
      <c r="D778" s="372"/>
      <c r="E778" s="372"/>
      <c r="F778" s="372"/>
      <c r="G778" s="372"/>
      <c r="H778" s="372"/>
      <c r="I778" s="372"/>
      <c r="J778" s="372"/>
      <c r="K778" s="372"/>
      <c r="L778" s="372"/>
      <c r="M778" s="372"/>
      <c r="N778" s="372"/>
      <c r="O778" s="372"/>
      <c r="P778" s="372"/>
      <c r="Q778" s="372"/>
      <c r="R778" s="372"/>
      <c r="S778" s="372"/>
    </row>
  </sheetData>
  <sheetProtection/>
  <mergeCells count="148">
    <mergeCell ref="L774:M774"/>
    <mergeCell ref="L775:M775"/>
    <mergeCell ref="L710:M710"/>
    <mergeCell ref="L711:M711"/>
    <mergeCell ref="L712:M712"/>
    <mergeCell ref="L713:M713"/>
    <mergeCell ref="L714:M714"/>
    <mergeCell ref="A778:S778"/>
    <mergeCell ref="L715:M715"/>
    <mergeCell ref="L749:M749"/>
    <mergeCell ref="L753:M753"/>
    <mergeCell ref="L773:M773"/>
    <mergeCell ref="L690:M690"/>
    <mergeCell ref="L691:M691"/>
    <mergeCell ref="L692:M692"/>
    <mergeCell ref="L694:M694"/>
    <mergeCell ref="L699:M699"/>
    <mergeCell ref="L700:M700"/>
    <mergeCell ref="L661:M661"/>
    <mergeCell ref="L662:M662"/>
    <mergeCell ref="L663:M663"/>
    <mergeCell ref="L682:M682"/>
    <mergeCell ref="L683:M683"/>
    <mergeCell ref="L688:M688"/>
    <mergeCell ref="L655:M655"/>
    <mergeCell ref="L656:M656"/>
    <mergeCell ref="L657:M657"/>
    <mergeCell ref="L658:M658"/>
    <mergeCell ref="L659:M659"/>
    <mergeCell ref="L660:M660"/>
    <mergeCell ref="L607:M607"/>
    <mergeCell ref="L608:M608"/>
    <mergeCell ref="L609:M609"/>
    <mergeCell ref="L622:M622"/>
    <mergeCell ref="L641:M641"/>
    <mergeCell ref="L654:M654"/>
    <mergeCell ref="L588:M588"/>
    <mergeCell ref="L589:M589"/>
    <mergeCell ref="L591:M591"/>
    <mergeCell ref="L592:M592"/>
    <mergeCell ref="L593:M593"/>
    <mergeCell ref="L594:M594"/>
    <mergeCell ref="L555:M555"/>
    <mergeCell ref="L559:M559"/>
    <mergeCell ref="L560:M560"/>
    <mergeCell ref="L561:M561"/>
    <mergeCell ref="L578:M578"/>
    <mergeCell ref="L586:M586"/>
    <mergeCell ref="L545:M545"/>
    <mergeCell ref="L546:M546"/>
    <mergeCell ref="L550:M550"/>
    <mergeCell ref="L551:M551"/>
    <mergeCell ref="L552:M552"/>
    <mergeCell ref="L554:M554"/>
    <mergeCell ref="L510:M510"/>
    <mergeCell ref="L511:M511"/>
    <mergeCell ref="L512:M512"/>
    <mergeCell ref="E540:G540"/>
    <mergeCell ref="L542:M542"/>
    <mergeCell ref="L544:M544"/>
    <mergeCell ref="L497:M497"/>
    <mergeCell ref="L499:M499"/>
    <mergeCell ref="L504:M504"/>
    <mergeCell ref="L506:M506"/>
    <mergeCell ref="L508:M508"/>
    <mergeCell ref="L509:M509"/>
    <mergeCell ref="L472:M472"/>
    <mergeCell ref="L473:M473"/>
    <mergeCell ref="L474:M474"/>
    <mergeCell ref="L494:M494"/>
    <mergeCell ref="L495:M495"/>
    <mergeCell ref="L496:M496"/>
    <mergeCell ref="L415:M415"/>
    <mergeCell ref="L416:M416"/>
    <mergeCell ref="L443:M443"/>
    <mergeCell ref="L468:M468"/>
    <mergeCell ref="L469:M469"/>
    <mergeCell ref="L470:M470"/>
    <mergeCell ref="L388:M388"/>
    <mergeCell ref="L389:M389"/>
    <mergeCell ref="L407:M407"/>
    <mergeCell ref="L412:M412"/>
    <mergeCell ref="L413:M413"/>
    <mergeCell ref="L414:M414"/>
    <mergeCell ref="L373:M373"/>
    <mergeCell ref="L374:M374"/>
    <mergeCell ref="L375:M375"/>
    <mergeCell ref="L376:M376"/>
    <mergeCell ref="L378:M378"/>
    <mergeCell ref="L379:M379"/>
    <mergeCell ref="L357:M357"/>
    <mergeCell ref="L361:M361"/>
    <mergeCell ref="L362:M362"/>
    <mergeCell ref="L363:M363"/>
    <mergeCell ref="L364:M364"/>
    <mergeCell ref="L368:M368"/>
    <mergeCell ref="L328:M328"/>
    <mergeCell ref="L329:M329"/>
    <mergeCell ref="L330:M330"/>
    <mergeCell ref="L331:M331"/>
    <mergeCell ref="L332:M332"/>
    <mergeCell ref="L345:M345"/>
    <mergeCell ref="L282:M282"/>
    <mergeCell ref="L291:M291"/>
    <mergeCell ref="L310:M310"/>
    <mergeCell ref="L312:M312"/>
    <mergeCell ref="L313:M313"/>
    <mergeCell ref="L314:M314"/>
    <mergeCell ref="L81:M81"/>
    <mergeCell ref="L184:M184"/>
    <mergeCell ref="L259:M259"/>
    <mergeCell ref="L261:M261"/>
    <mergeCell ref="L262:M262"/>
    <mergeCell ref="L271:M271"/>
    <mergeCell ref="L37:M37"/>
    <mergeCell ref="L49:M49"/>
    <mergeCell ref="L50:M50"/>
    <mergeCell ref="L72:M72"/>
    <mergeCell ref="L78:M78"/>
    <mergeCell ref="L79:M79"/>
    <mergeCell ref="L18:M18"/>
    <mergeCell ref="L20:M20"/>
    <mergeCell ref="L30:M30"/>
    <mergeCell ref="L31:M31"/>
    <mergeCell ref="L32:M32"/>
    <mergeCell ref="L33:M33"/>
    <mergeCell ref="P4:S4"/>
    <mergeCell ref="T4:T5"/>
    <mergeCell ref="U4:U5"/>
    <mergeCell ref="L7:M7"/>
    <mergeCell ref="L9:M9"/>
    <mergeCell ref="L17:M17"/>
    <mergeCell ref="I4:I5"/>
    <mergeCell ref="J4:J5"/>
    <mergeCell ref="K4:K5"/>
    <mergeCell ref="L4:M4"/>
    <mergeCell ref="N4:N5"/>
    <mergeCell ref="O4:O5"/>
    <mergeCell ref="A1:S1"/>
    <mergeCell ref="A2:S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1603125" bottom="0.3" header="0" footer="0"/>
  <pageSetup horizontalDpi="600" verticalDpi="600" orientation="landscape" paperSize="9" scale="8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Layout" workbookViewId="0" topLeftCell="A41">
      <selection activeCell="X6" sqref="X6"/>
    </sheetView>
  </sheetViews>
  <sheetFormatPr defaultColWidth="9.00390625" defaultRowHeight="15.75"/>
  <cols>
    <col min="1" max="1" width="4.25390625" style="0" customWidth="1"/>
    <col min="2" max="2" width="0" style="0" hidden="1" customWidth="1"/>
    <col min="3" max="3" width="19.00390625" style="0" customWidth="1"/>
    <col min="4" max="4" width="11.00390625" style="0" customWidth="1"/>
    <col min="5" max="5" width="27.375" style="352" customWidth="1"/>
    <col min="6" max="6" width="14.125" style="0" hidden="1" customWidth="1"/>
    <col min="7" max="7" width="8.875" style="0" customWidth="1"/>
    <col min="8" max="8" width="9.00390625" style="0" customWidth="1"/>
    <col min="9" max="9" width="19.00390625" style="0" customWidth="1"/>
    <col min="10" max="10" width="9.625" style="0" customWidth="1"/>
    <col min="11" max="11" width="6.25390625" style="0" hidden="1" customWidth="1"/>
    <col min="12" max="12" width="7.125" style="0" hidden="1" customWidth="1"/>
    <col min="13" max="14" width="7.375" style="0" hidden="1" customWidth="1"/>
    <col min="15" max="15" width="6.50390625" style="0" hidden="1" customWidth="1"/>
    <col min="16" max="16" width="7.75390625" style="0" hidden="1" customWidth="1"/>
    <col min="17" max="17" width="9.625" style="0" hidden="1" customWidth="1"/>
    <col min="18" max="18" width="8.25390625" style="0" hidden="1" customWidth="1"/>
    <col min="19" max="19" width="8.375" style="0" hidden="1" customWidth="1"/>
    <col min="20" max="20" width="9.50390625" style="102" hidden="1" customWidth="1"/>
    <col min="21" max="21" width="0" style="0" hidden="1" customWidth="1"/>
    <col min="22" max="22" width="0.12890625" style="0" customWidth="1"/>
    <col min="23" max="23" width="8.125" style="0" customWidth="1"/>
  </cols>
  <sheetData>
    <row r="1" spans="1:23" ht="50.25" customHeight="1">
      <c r="A1" s="374" t="s">
        <v>2218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</row>
    <row r="2" spans="1:23" ht="20.25" customHeight="1">
      <c r="A2" s="375" t="s">
        <v>2219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</row>
    <row r="4" ht="11.25" customHeight="1"/>
    <row r="5" spans="1:23" ht="27.75" customHeight="1">
      <c r="A5" s="378" t="s">
        <v>2140</v>
      </c>
      <c r="B5" s="378" t="s">
        <v>334</v>
      </c>
      <c r="C5" s="378" t="s">
        <v>2217</v>
      </c>
      <c r="D5" s="379" t="s">
        <v>339</v>
      </c>
      <c r="E5" s="378" t="s">
        <v>1040</v>
      </c>
      <c r="F5" s="378" t="s">
        <v>652</v>
      </c>
      <c r="G5" s="378" t="s">
        <v>1041</v>
      </c>
      <c r="H5" s="378" t="s">
        <v>340</v>
      </c>
      <c r="I5" s="378" t="s">
        <v>653</v>
      </c>
      <c r="J5" s="376" t="s">
        <v>1042</v>
      </c>
      <c r="K5" s="377" t="s">
        <v>1178</v>
      </c>
      <c r="L5" s="378" t="s">
        <v>1043</v>
      </c>
      <c r="M5" s="378"/>
      <c r="N5" s="378" t="s">
        <v>1039</v>
      </c>
      <c r="O5" s="378" t="s">
        <v>2185</v>
      </c>
      <c r="P5" s="377" t="s">
        <v>51</v>
      </c>
      <c r="Q5" s="382" t="s">
        <v>204</v>
      </c>
      <c r="R5" s="382"/>
      <c r="S5" s="382"/>
      <c r="T5" s="382"/>
      <c r="U5" s="1"/>
      <c r="V5" s="1"/>
      <c r="W5" s="380" t="s">
        <v>338</v>
      </c>
    </row>
    <row r="6" spans="1:23" ht="47.25">
      <c r="A6" s="378"/>
      <c r="B6" s="378"/>
      <c r="C6" s="378"/>
      <c r="D6" s="379"/>
      <c r="E6" s="378"/>
      <c r="F6" s="378"/>
      <c r="G6" s="378"/>
      <c r="H6" s="378"/>
      <c r="I6" s="378"/>
      <c r="J6" s="376"/>
      <c r="K6" s="377"/>
      <c r="L6" s="322" t="s">
        <v>1179</v>
      </c>
      <c r="M6" s="322" t="s">
        <v>1180</v>
      </c>
      <c r="N6" s="378"/>
      <c r="O6" s="378"/>
      <c r="P6" s="377"/>
      <c r="Q6" s="323" t="s">
        <v>336</v>
      </c>
      <c r="R6" s="323" t="s">
        <v>1045</v>
      </c>
      <c r="S6" s="323" t="s">
        <v>337</v>
      </c>
      <c r="T6" s="324" t="s">
        <v>1044</v>
      </c>
      <c r="U6" s="1"/>
      <c r="V6" s="1"/>
      <c r="W6" s="381"/>
    </row>
    <row r="7" spans="1:23" s="273" customFormat="1" ht="27" customHeight="1" hidden="1">
      <c r="A7" s="325">
        <f>IF(B7&lt;&gt;"",SUBTOTAL(103,$D7:$D$7),"")</f>
      </c>
      <c r="B7" s="326"/>
      <c r="C7" s="327" t="s">
        <v>345</v>
      </c>
      <c r="D7" s="328"/>
      <c r="E7" s="329"/>
      <c r="F7" s="329"/>
      <c r="G7" s="329"/>
      <c r="H7" s="329"/>
      <c r="I7" s="329"/>
      <c r="J7" s="330"/>
      <c r="K7" s="331"/>
      <c r="L7" s="332"/>
      <c r="M7" s="332"/>
      <c r="N7" s="332"/>
      <c r="O7" s="333"/>
      <c r="P7" s="334"/>
      <c r="Q7" s="335">
        <f>SUBTOTAL(109,Q8:Q42)</f>
        <v>1811795000</v>
      </c>
      <c r="R7" s="335">
        <f>SUBTOTAL(109,R8:R42)</f>
        <v>0</v>
      </c>
      <c r="S7" s="335">
        <f>SUBTOTAL(109,S8:S42)</f>
        <v>586295000</v>
      </c>
      <c r="T7" s="335">
        <f>SUBTOTAL(109,T8:T42)</f>
        <v>1225500000</v>
      </c>
      <c r="U7" s="336"/>
      <c r="V7" s="337"/>
      <c r="W7" s="338"/>
    </row>
    <row r="8" spans="1:23" s="204" customFormat="1" ht="32.25" customHeight="1">
      <c r="A8" s="325">
        <f>IF(B8&lt;&gt;"",SUBTOTAL(103,$D$8:$D8),"")</f>
        <v>1</v>
      </c>
      <c r="B8" s="97">
        <f>IF(C8&lt;&gt;"",SUBTOTAL(103,$C$8:$C8),"")</f>
        <v>1</v>
      </c>
      <c r="C8" s="98" t="s">
        <v>1601</v>
      </c>
      <c r="D8" s="339" t="s">
        <v>1762</v>
      </c>
      <c r="E8" s="340" t="s">
        <v>1602</v>
      </c>
      <c r="F8" s="340" t="s">
        <v>1763</v>
      </c>
      <c r="G8" s="340" t="s">
        <v>1198</v>
      </c>
      <c r="H8" s="340" t="s">
        <v>1764</v>
      </c>
      <c r="I8" s="340" t="s">
        <v>1289</v>
      </c>
      <c r="J8" s="341">
        <v>41640</v>
      </c>
      <c r="K8" s="342">
        <v>0</v>
      </c>
      <c r="L8" s="341">
        <v>41640</v>
      </c>
      <c r="M8" s="341">
        <v>42217</v>
      </c>
      <c r="N8" s="343">
        <v>0</v>
      </c>
      <c r="O8" s="342">
        <f aca="true" t="shared" si="0" ref="O8:O22">DATEDIF(L8,M8,"m")+1</f>
        <v>20</v>
      </c>
      <c r="P8" s="344">
        <v>1150000</v>
      </c>
      <c r="Q8" s="345">
        <f aca="true" t="shared" si="1" ref="Q8:Q15">R8+S8+T8</f>
        <v>50025000</v>
      </c>
      <c r="R8" s="345">
        <f>N8*P8*1.5</f>
        <v>0</v>
      </c>
      <c r="S8" s="345">
        <f>7275000+8250000</f>
        <v>15525000</v>
      </c>
      <c r="T8" s="345">
        <f>30*P8</f>
        <v>34500000</v>
      </c>
      <c r="U8" s="346" t="s">
        <v>2186</v>
      </c>
      <c r="V8" s="347">
        <v>42661</v>
      </c>
      <c r="W8" s="348"/>
    </row>
    <row r="9" spans="1:23" s="204" customFormat="1" ht="27" customHeight="1" collapsed="1">
      <c r="A9" s="325">
        <f>IF(B9&lt;&gt;"",SUBTOTAL(103,$D$8:$D9),"")</f>
        <v>2</v>
      </c>
      <c r="B9" s="97">
        <f>IF(C9&lt;&gt;"",SUBTOTAL(103,$C$8:$C9),"")</f>
        <v>2</v>
      </c>
      <c r="C9" s="98" t="s">
        <v>1603</v>
      </c>
      <c r="D9" s="339" t="s">
        <v>1765</v>
      </c>
      <c r="E9" s="340" t="s">
        <v>1604</v>
      </c>
      <c r="F9" s="340" t="s">
        <v>1766</v>
      </c>
      <c r="G9" s="340" t="s">
        <v>1198</v>
      </c>
      <c r="H9" s="340" t="s">
        <v>1764</v>
      </c>
      <c r="I9" s="340" t="s">
        <v>1289</v>
      </c>
      <c r="J9" s="341">
        <v>41640</v>
      </c>
      <c r="K9" s="342">
        <v>0</v>
      </c>
      <c r="L9" s="341">
        <v>41640</v>
      </c>
      <c r="M9" s="341">
        <v>42217</v>
      </c>
      <c r="N9" s="343">
        <v>0</v>
      </c>
      <c r="O9" s="342">
        <f t="shared" si="0"/>
        <v>20</v>
      </c>
      <c r="P9" s="344">
        <v>1150000</v>
      </c>
      <c r="Q9" s="345">
        <f t="shared" si="1"/>
        <v>50025000</v>
      </c>
      <c r="R9" s="345">
        <f aca="true" t="shared" si="2" ref="R9:R42">N9*P9*1.5</f>
        <v>0</v>
      </c>
      <c r="S9" s="345">
        <f>7275000+8250000</f>
        <v>15525000</v>
      </c>
      <c r="T9" s="345">
        <f>30*P9</f>
        <v>34500000</v>
      </c>
      <c r="U9" s="346" t="s">
        <v>2186</v>
      </c>
      <c r="V9" s="347">
        <v>42661</v>
      </c>
      <c r="W9" s="348"/>
    </row>
    <row r="10" spans="1:23" s="204" customFormat="1" ht="36" customHeight="1">
      <c r="A10" s="325">
        <f>IF(B10&lt;&gt;"",SUBTOTAL(103,$D$8:$D10),"")</f>
        <v>3</v>
      </c>
      <c r="B10" s="97">
        <f>IF(C10&lt;&gt;"",SUBTOTAL(103,$C$8:$C10),"")</f>
        <v>3</v>
      </c>
      <c r="C10" s="98" t="s">
        <v>1609</v>
      </c>
      <c r="D10" s="339" t="s">
        <v>1777</v>
      </c>
      <c r="E10" s="340" t="s">
        <v>2146</v>
      </c>
      <c r="F10" s="340" t="s">
        <v>1774</v>
      </c>
      <c r="G10" s="340" t="s">
        <v>1198</v>
      </c>
      <c r="H10" s="340" t="s">
        <v>1778</v>
      </c>
      <c r="I10" s="340" t="s">
        <v>1775</v>
      </c>
      <c r="J10" s="341">
        <v>41640</v>
      </c>
      <c r="K10" s="342">
        <v>0</v>
      </c>
      <c r="L10" s="341">
        <v>41640</v>
      </c>
      <c r="M10" s="341">
        <v>42217</v>
      </c>
      <c r="N10" s="343">
        <v>0</v>
      </c>
      <c r="O10" s="342">
        <f t="shared" si="0"/>
        <v>20</v>
      </c>
      <c r="P10" s="344">
        <v>1150000</v>
      </c>
      <c r="Q10" s="345">
        <f t="shared" si="1"/>
        <v>50025000</v>
      </c>
      <c r="R10" s="345">
        <f t="shared" si="2"/>
        <v>0</v>
      </c>
      <c r="S10" s="345">
        <f>6800000+8725000</f>
        <v>15525000</v>
      </c>
      <c r="T10" s="345">
        <f>30*P10</f>
        <v>34500000</v>
      </c>
      <c r="U10" s="346" t="s">
        <v>1779</v>
      </c>
      <c r="V10" s="347">
        <v>42661</v>
      </c>
      <c r="W10" s="348"/>
    </row>
    <row r="11" spans="1:23" s="204" customFormat="1" ht="27" customHeight="1">
      <c r="A11" s="325">
        <f>IF(B11&lt;&gt;"",SUBTOTAL(103,$D$8:$D11),"")</f>
        <v>4</v>
      </c>
      <c r="B11" s="97">
        <f>IF(C11&lt;&gt;"",SUBTOTAL(103,$C$8:$C11),"")</f>
        <v>4</v>
      </c>
      <c r="C11" s="98" t="s">
        <v>1610</v>
      </c>
      <c r="D11" s="339" t="s">
        <v>1780</v>
      </c>
      <c r="E11" s="340" t="s">
        <v>1608</v>
      </c>
      <c r="F11" s="340" t="s">
        <v>1782</v>
      </c>
      <c r="G11" s="340" t="s">
        <v>1198</v>
      </c>
      <c r="H11" s="340" t="s">
        <v>1769</v>
      </c>
      <c r="I11" s="340" t="s">
        <v>1775</v>
      </c>
      <c r="J11" s="341">
        <v>41640</v>
      </c>
      <c r="K11" s="342">
        <v>0</v>
      </c>
      <c r="L11" s="341">
        <v>41640</v>
      </c>
      <c r="M11" s="341">
        <v>42217</v>
      </c>
      <c r="N11" s="343">
        <v>0</v>
      </c>
      <c r="O11" s="342">
        <f t="shared" si="0"/>
        <v>20</v>
      </c>
      <c r="P11" s="344">
        <v>1150000</v>
      </c>
      <c r="Q11" s="345">
        <f t="shared" si="1"/>
        <v>52725000</v>
      </c>
      <c r="R11" s="345">
        <f t="shared" si="2"/>
        <v>0</v>
      </c>
      <c r="S11" s="345">
        <f>9025000+9200000</f>
        <v>18225000</v>
      </c>
      <c r="T11" s="345">
        <f>30*P11</f>
        <v>34500000</v>
      </c>
      <c r="U11" s="346" t="s">
        <v>2187</v>
      </c>
      <c r="V11" s="347">
        <v>42661</v>
      </c>
      <c r="W11" s="348"/>
    </row>
    <row r="12" spans="1:23" s="204" customFormat="1" ht="27" customHeight="1">
      <c r="A12" s="325">
        <f>IF(B12&lt;&gt;"",SUBTOTAL(103,$D$8:$D12),"")</f>
        <v>5</v>
      </c>
      <c r="B12" s="97">
        <f>IF(C12&lt;&gt;"",SUBTOTAL(103,$C$8:$C12),"")</f>
        <v>5</v>
      </c>
      <c r="C12" s="349" t="s">
        <v>1611</v>
      </c>
      <c r="D12" s="339" t="s">
        <v>1784</v>
      </c>
      <c r="E12" s="351" t="s">
        <v>1612</v>
      </c>
      <c r="F12" s="340" t="s">
        <v>1781</v>
      </c>
      <c r="G12" s="340" t="s">
        <v>1198</v>
      </c>
      <c r="H12" s="340" t="s">
        <v>1783</v>
      </c>
      <c r="I12" s="340" t="s">
        <v>1775</v>
      </c>
      <c r="J12" s="341">
        <v>41640</v>
      </c>
      <c r="K12" s="342">
        <v>0</v>
      </c>
      <c r="L12" s="341">
        <v>41640</v>
      </c>
      <c r="M12" s="341">
        <v>42217</v>
      </c>
      <c r="N12" s="343">
        <v>0</v>
      </c>
      <c r="O12" s="342">
        <f t="shared" si="0"/>
        <v>20</v>
      </c>
      <c r="P12" s="344">
        <v>1150000</v>
      </c>
      <c r="Q12" s="345">
        <f t="shared" si="1"/>
        <v>52725000</v>
      </c>
      <c r="R12" s="345">
        <f t="shared" si="2"/>
        <v>0</v>
      </c>
      <c r="S12" s="345">
        <f>7700000+10525000</f>
        <v>18225000</v>
      </c>
      <c r="T12" s="345">
        <f>30*P12</f>
        <v>34500000</v>
      </c>
      <c r="U12" s="346" t="s">
        <v>2187</v>
      </c>
      <c r="V12" s="347">
        <v>42661</v>
      </c>
      <c r="W12" s="348"/>
    </row>
    <row r="13" spans="1:23" s="204" customFormat="1" ht="27" customHeight="1">
      <c r="A13" s="325">
        <f>IF(B13&lt;&gt;"",SUBTOTAL(103,$D$8:$D13),"")</f>
        <v>6</v>
      </c>
      <c r="B13" s="97">
        <f>IF(C13&lt;&gt;"",SUBTOTAL(103,$C$8:$C13),"")</f>
        <v>6</v>
      </c>
      <c r="C13" s="349" t="s">
        <v>500</v>
      </c>
      <c r="D13" s="339" t="s">
        <v>1785</v>
      </c>
      <c r="E13" s="351" t="s">
        <v>1613</v>
      </c>
      <c r="F13" s="340" t="s">
        <v>1786</v>
      </c>
      <c r="G13" s="340" t="s">
        <v>1198</v>
      </c>
      <c r="H13" s="340" t="s">
        <v>1563</v>
      </c>
      <c r="I13" s="340" t="s">
        <v>1297</v>
      </c>
      <c r="J13" s="341">
        <v>41640</v>
      </c>
      <c r="K13" s="342">
        <v>0</v>
      </c>
      <c r="L13" s="341">
        <v>41640</v>
      </c>
      <c r="M13" s="341">
        <v>42217</v>
      </c>
      <c r="N13" s="343">
        <v>0</v>
      </c>
      <c r="O13" s="342">
        <f t="shared" si="0"/>
        <v>20</v>
      </c>
      <c r="P13" s="344">
        <v>1150000</v>
      </c>
      <c r="Q13" s="345">
        <f t="shared" si="1"/>
        <v>51825000</v>
      </c>
      <c r="R13" s="345">
        <f t="shared" si="2"/>
        <v>0</v>
      </c>
      <c r="S13" s="345">
        <f>7275000+8250000</f>
        <v>15525000</v>
      </c>
      <c r="T13" s="345">
        <f>30*1210000</f>
        <v>36300000</v>
      </c>
      <c r="U13" s="346" t="s">
        <v>2188</v>
      </c>
      <c r="V13" s="347">
        <v>42661</v>
      </c>
      <c r="W13" s="348"/>
    </row>
    <row r="14" spans="1:23" s="204" customFormat="1" ht="27" customHeight="1">
      <c r="A14" s="325">
        <f>IF(B14&lt;&gt;"",SUBTOTAL(103,$D$8:$D14),"")</f>
        <v>7</v>
      </c>
      <c r="B14" s="97">
        <f>IF(C14&lt;&gt;"",SUBTOTAL(103,$C$8:$C14),"")</f>
        <v>7</v>
      </c>
      <c r="C14" s="349" t="s">
        <v>1617</v>
      </c>
      <c r="D14" s="339" t="s">
        <v>1794</v>
      </c>
      <c r="E14" s="351" t="s">
        <v>1618</v>
      </c>
      <c r="F14" s="340" t="s">
        <v>1795</v>
      </c>
      <c r="G14" s="340" t="s">
        <v>1198</v>
      </c>
      <c r="H14" s="340" t="s">
        <v>1792</v>
      </c>
      <c r="I14" s="340" t="s">
        <v>1297</v>
      </c>
      <c r="J14" s="341">
        <v>41640</v>
      </c>
      <c r="K14" s="342">
        <v>0</v>
      </c>
      <c r="L14" s="341">
        <v>41640</v>
      </c>
      <c r="M14" s="341">
        <v>42217</v>
      </c>
      <c r="N14" s="343">
        <v>0</v>
      </c>
      <c r="O14" s="342">
        <f t="shared" si="0"/>
        <v>20</v>
      </c>
      <c r="P14" s="344">
        <v>1150000</v>
      </c>
      <c r="Q14" s="345">
        <f t="shared" si="1"/>
        <v>51825000</v>
      </c>
      <c r="R14" s="345">
        <f t="shared" si="2"/>
        <v>0</v>
      </c>
      <c r="S14" s="345">
        <f>7275000+8250000</f>
        <v>15525000</v>
      </c>
      <c r="T14" s="345">
        <f>30*1210000</f>
        <v>36300000</v>
      </c>
      <c r="U14" s="346" t="s">
        <v>2189</v>
      </c>
      <c r="V14" s="347">
        <v>42661</v>
      </c>
      <c r="W14" s="348"/>
    </row>
    <row r="15" spans="1:23" s="204" customFormat="1" ht="27" customHeight="1">
      <c r="A15" s="325">
        <f>IF(B15&lt;&gt;"",SUBTOTAL(103,$D$8:$D15),"")</f>
        <v>8</v>
      </c>
      <c r="B15" s="97">
        <f>IF(C15&lt;&gt;"",SUBTOTAL(103,$C$8:$C15),"")</f>
        <v>8</v>
      </c>
      <c r="C15" s="349" t="s">
        <v>467</v>
      </c>
      <c r="D15" s="339" t="s">
        <v>1796</v>
      </c>
      <c r="E15" s="351" t="s">
        <v>1618</v>
      </c>
      <c r="F15" s="340" t="s">
        <v>1797</v>
      </c>
      <c r="G15" s="340" t="s">
        <v>1198</v>
      </c>
      <c r="H15" s="340" t="s">
        <v>1798</v>
      </c>
      <c r="I15" s="340" t="s">
        <v>524</v>
      </c>
      <c r="J15" s="341">
        <v>41640</v>
      </c>
      <c r="K15" s="342">
        <v>0</v>
      </c>
      <c r="L15" s="341">
        <v>41640</v>
      </c>
      <c r="M15" s="341">
        <v>42217</v>
      </c>
      <c r="N15" s="343">
        <v>0</v>
      </c>
      <c r="O15" s="342">
        <f t="shared" si="0"/>
        <v>20</v>
      </c>
      <c r="P15" s="344">
        <v>1150000</v>
      </c>
      <c r="Q15" s="345">
        <f t="shared" si="1"/>
        <v>51337500</v>
      </c>
      <c r="R15" s="345">
        <f t="shared" si="2"/>
        <v>0</v>
      </c>
      <c r="S15" s="345">
        <f>8250000+6787500</f>
        <v>15037500</v>
      </c>
      <c r="T15" s="345">
        <f>30*1210000</f>
        <v>36300000</v>
      </c>
      <c r="U15" s="346" t="s">
        <v>2190</v>
      </c>
      <c r="V15" s="347">
        <v>42661</v>
      </c>
      <c r="W15" s="348"/>
    </row>
    <row r="16" spans="1:23" s="204" customFormat="1" ht="27" customHeight="1">
      <c r="A16" s="325">
        <f>IF(B16&lt;&gt;"",SUBTOTAL(103,$D$8:$D16),"")</f>
        <v>9</v>
      </c>
      <c r="B16" s="97">
        <f>IF(C16&lt;&gt;"",SUBTOTAL(103,$C$8:$C16),"")</f>
        <v>9</v>
      </c>
      <c r="C16" s="349" t="s">
        <v>1621</v>
      </c>
      <c r="D16" s="339" t="s">
        <v>1802</v>
      </c>
      <c r="E16" s="351" t="s">
        <v>1613</v>
      </c>
      <c r="F16" s="340" t="s">
        <v>1803</v>
      </c>
      <c r="G16" s="340" t="s">
        <v>1198</v>
      </c>
      <c r="H16" s="340" t="s">
        <v>1804</v>
      </c>
      <c r="I16" s="340" t="s">
        <v>1297</v>
      </c>
      <c r="J16" s="341">
        <v>41640</v>
      </c>
      <c r="K16" s="342">
        <v>0</v>
      </c>
      <c r="L16" s="341">
        <v>41640</v>
      </c>
      <c r="M16" s="341">
        <v>42217</v>
      </c>
      <c r="N16" s="343">
        <v>0</v>
      </c>
      <c r="O16" s="342">
        <f t="shared" si="0"/>
        <v>20</v>
      </c>
      <c r="P16" s="344">
        <v>1150000</v>
      </c>
      <c r="Q16" s="345">
        <f aca="true" t="shared" si="3" ref="Q16:Q22">R16+S16+T16</f>
        <v>51825000</v>
      </c>
      <c r="R16" s="345">
        <f t="shared" si="2"/>
        <v>0</v>
      </c>
      <c r="S16" s="345">
        <f>7275000+8250000</f>
        <v>15525000</v>
      </c>
      <c r="T16" s="345">
        <f>30*1210000</f>
        <v>36300000</v>
      </c>
      <c r="U16" s="346" t="s">
        <v>2191</v>
      </c>
      <c r="V16" s="347">
        <v>42661</v>
      </c>
      <c r="W16" s="348"/>
    </row>
    <row r="17" spans="1:23" s="204" customFormat="1" ht="27" customHeight="1">
      <c r="A17" s="325">
        <f>IF(B17&lt;&gt;"",SUBTOTAL(103,$D$8:$D17),"")</f>
        <v>10</v>
      </c>
      <c r="B17" s="97">
        <f>IF(C17&lt;&gt;"",SUBTOTAL(103,$C$8:$C17),"")</f>
        <v>10</v>
      </c>
      <c r="C17" s="349" t="s">
        <v>1622</v>
      </c>
      <c r="D17" s="339" t="s">
        <v>1805</v>
      </c>
      <c r="E17" s="351" t="s">
        <v>1623</v>
      </c>
      <c r="F17" s="340" t="s">
        <v>1806</v>
      </c>
      <c r="G17" s="340" t="s">
        <v>1198</v>
      </c>
      <c r="H17" s="340" t="s">
        <v>1804</v>
      </c>
      <c r="I17" s="340" t="s">
        <v>252</v>
      </c>
      <c r="J17" s="341">
        <v>41640</v>
      </c>
      <c r="K17" s="342">
        <v>0</v>
      </c>
      <c r="L17" s="341">
        <v>41640</v>
      </c>
      <c r="M17" s="341">
        <v>42217</v>
      </c>
      <c r="N17" s="343">
        <v>0</v>
      </c>
      <c r="O17" s="342">
        <f t="shared" si="0"/>
        <v>20</v>
      </c>
      <c r="P17" s="344">
        <v>1150000</v>
      </c>
      <c r="Q17" s="345">
        <f t="shared" si="3"/>
        <v>52725000</v>
      </c>
      <c r="R17" s="345">
        <f t="shared" si="2"/>
        <v>0</v>
      </c>
      <c r="S17" s="345">
        <f>10525000+7700000</f>
        <v>18225000</v>
      </c>
      <c r="T17" s="345">
        <f>30*P17</f>
        <v>34500000</v>
      </c>
      <c r="U17" s="346" t="s">
        <v>2187</v>
      </c>
      <c r="V17" s="347">
        <v>42661</v>
      </c>
      <c r="W17" s="348"/>
    </row>
    <row r="18" spans="1:23" s="204" customFormat="1" ht="27" customHeight="1">
      <c r="A18" s="325">
        <f>IF(B18&lt;&gt;"",SUBTOTAL(103,$D$8:$D18),"")</f>
        <v>11</v>
      </c>
      <c r="B18" s="97">
        <f>IF(C18&lt;&gt;"",SUBTOTAL(103,$C$8:$C18),"")</f>
        <v>11</v>
      </c>
      <c r="C18" s="349" t="s">
        <v>1624</v>
      </c>
      <c r="D18" s="339" t="s">
        <v>1807</v>
      </c>
      <c r="E18" s="351" t="s">
        <v>1625</v>
      </c>
      <c r="F18" s="340" t="s">
        <v>1808</v>
      </c>
      <c r="G18" s="340" t="s">
        <v>1198</v>
      </c>
      <c r="H18" s="340" t="s">
        <v>1764</v>
      </c>
      <c r="I18" s="340" t="s">
        <v>1289</v>
      </c>
      <c r="J18" s="341">
        <v>41640</v>
      </c>
      <c r="K18" s="342">
        <v>0</v>
      </c>
      <c r="L18" s="341">
        <v>41640</v>
      </c>
      <c r="M18" s="341">
        <v>42217</v>
      </c>
      <c r="N18" s="343">
        <v>0</v>
      </c>
      <c r="O18" s="342">
        <f t="shared" si="0"/>
        <v>20</v>
      </c>
      <c r="P18" s="344">
        <v>1150000</v>
      </c>
      <c r="Q18" s="345">
        <f t="shared" si="3"/>
        <v>52725000</v>
      </c>
      <c r="R18" s="345">
        <f t="shared" si="2"/>
        <v>0</v>
      </c>
      <c r="S18" s="345">
        <f>8475000+9750000</f>
        <v>18225000</v>
      </c>
      <c r="T18" s="345">
        <f>30*P18</f>
        <v>34500000</v>
      </c>
      <c r="U18" s="346" t="s">
        <v>2192</v>
      </c>
      <c r="V18" s="347">
        <v>42661</v>
      </c>
      <c r="W18" s="348"/>
    </row>
    <row r="19" spans="1:23" s="204" customFormat="1" ht="27" customHeight="1">
      <c r="A19" s="325">
        <f>IF(B19&lt;&gt;"",SUBTOTAL(103,$D$8:$D19),"")</f>
        <v>12</v>
      </c>
      <c r="B19" s="97">
        <f>IF(C19&lt;&gt;"",SUBTOTAL(103,$C$8:$C19),"")</f>
        <v>12</v>
      </c>
      <c r="C19" s="349" t="s">
        <v>1626</v>
      </c>
      <c r="D19" s="339" t="s">
        <v>1809</v>
      </c>
      <c r="E19" s="351" t="s">
        <v>1625</v>
      </c>
      <c r="F19" s="340" t="s">
        <v>1810</v>
      </c>
      <c r="G19" s="340" t="s">
        <v>1198</v>
      </c>
      <c r="H19" s="340" t="s">
        <v>1792</v>
      </c>
      <c r="I19" s="340" t="s">
        <v>252</v>
      </c>
      <c r="J19" s="341">
        <v>41640</v>
      </c>
      <c r="K19" s="342">
        <v>0</v>
      </c>
      <c r="L19" s="341">
        <v>41640</v>
      </c>
      <c r="M19" s="341">
        <v>42217</v>
      </c>
      <c r="N19" s="343">
        <v>0</v>
      </c>
      <c r="O19" s="342">
        <f t="shared" si="0"/>
        <v>20</v>
      </c>
      <c r="P19" s="344">
        <v>1150000</v>
      </c>
      <c r="Q19" s="345">
        <f t="shared" si="3"/>
        <v>52725000</v>
      </c>
      <c r="R19" s="345">
        <f t="shared" si="2"/>
        <v>0</v>
      </c>
      <c r="S19" s="345">
        <f>9200000+9025000</f>
        <v>18225000</v>
      </c>
      <c r="T19" s="345">
        <f>30*P19</f>
        <v>34500000</v>
      </c>
      <c r="U19" s="346" t="s">
        <v>2193</v>
      </c>
      <c r="V19" s="347">
        <v>42661</v>
      </c>
      <c r="W19" s="348"/>
    </row>
    <row r="20" spans="1:23" s="204" customFormat="1" ht="27" customHeight="1">
      <c r="A20" s="325">
        <f>IF(B20&lt;&gt;"",SUBTOTAL(103,$D$8:$D20),"")</f>
        <v>13</v>
      </c>
      <c r="B20" s="97">
        <f>IF(C20&lt;&gt;"",SUBTOTAL(103,$C$8:$C20),"")</f>
        <v>13</v>
      </c>
      <c r="C20" s="349" t="s">
        <v>1627</v>
      </c>
      <c r="D20" s="339" t="s">
        <v>1811</v>
      </c>
      <c r="E20" s="351" t="s">
        <v>1625</v>
      </c>
      <c r="F20" s="340" t="s">
        <v>1812</v>
      </c>
      <c r="G20" s="340" t="s">
        <v>1198</v>
      </c>
      <c r="H20" s="340" t="s">
        <v>1798</v>
      </c>
      <c r="I20" s="340" t="s">
        <v>1297</v>
      </c>
      <c r="J20" s="341">
        <v>41640</v>
      </c>
      <c r="K20" s="342">
        <v>0</v>
      </c>
      <c r="L20" s="341">
        <v>41640</v>
      </c>
      <c r="M20" s="341">
        <v>42217</v>
      </c>
      <c r="N20" s="343">
        <v>0</v>
      </c>
      <c r="O20" s="342">
        <f t="shared" si="0"/>
        <v>20</v>
      </c>
      <c r="P20" s="344">
        <v>1150000</v>
      </c>
      <c r="Q20" s="345">
        <f t="shared" si="3"/>
        <v>51825000</v>
      </c>
      <c r="R20" s="345">
        <f t="shared" si="2"/>
        <v>0</v>
      </c>
      <c r="S20" s="345">
        <f>7275000+8250000</f>
        <v>15525000</v>
      </c>
      <c r="T20" s="345">
        <f>30*1210000</f>
        <v>36300000</v>
      </c>
      <c r="U20" s="346" t="s">
        <v>2194</v>
      </c>
      <c r="V20" s="347">
        <v>42661</v>
      </c>
      <c r="W20" s="348"/>
    </row>
    <row r="21" spans="1:23" s="204" customFormat="1" ht="27" customHeight="1">
      <c r="A21" s="325">
        <f>IF(B21&lt;&gt;"",SUBTOTAL(103,$D$8:$D21),"")</f>
        <v>14</v>
      </c>
      <c r="B21" s="97">
        <f>IF(C21&lt;&gt;"",SUBTOTAL(103,$C$8:$C21),"")</f>
        <v>14</v>
      </c>
      <c r="C21" s="349" t="s">
        <v>1628</v>
      </c>
      <c r="D21" s="339" t="s">
        <v>1284</v>
      </c>
      <c r="E21" s="351" t="s">
        <v>1629</v>
      </c>
      <c r="F21" s="340" t="s">
        <v>1813</v>
      </c>
      <c r="G21" s="340" t="s">
        <v>1198</v>
      </c>
      <c r="H21" s="340" t="s">
        <v>1769</v>
      </c>
      <c r="I21" s="340" t="s">
        <v>252</v>
      </c>
      <c r="J21" s="341">
        <v>41640</v>
      </c>
      <c r="K21" s="342">
        <v>0</v>
      </c>
      <c r="L21" s="341">
        <v>41640</v>
      </c>
      <c r="M21" s="341">
        <v>42217</v>
      </c>
      <c r="N21" s="343">
        <v>0</v>
      </c>
      <c r="O21" s="342">
        <f t="shared" si="0"/>
        <v>20</v>
      </c>
      <c r="P21" s="344">
        <v>1150000</v>
      </c>
      <c r="Q21" s="345">
        <f t="shared" si="3"/>
        <v>52725000</v>
      </c>
      <c r="R21" s="345">
        <f t="shared" si="2"/>
        <v>0</v>
      </c>
      <c r="S21" s="345">
        <f>9025000+9200000</f>
        <v>18225000</v>
      </c>
      <c r="T21" s="345">
        <f>30*P21</f>
        <v>34500000</v>
      </c>
      <c r="U21" s="346" t="s">
        <v>2195</v>
      </c>
      <c r="V21" s="347">
        <v>42661</v>
      </c>
      <c r="W21" s="348"/>
    </row>
    <row r="22" spans="1:23" s="204" customFormat="1" ht="27" customHeight="1">
      <c r="A22" s="325">
        <f>IF(B22&lt;&gt;"",SUBTOTAL(103,$D$8:$D22),"")</f>
        <v>15</v>
      </c>
      <c r="B22" s="97">
        <f>IF(C22&lt;&gt;"",SUBTOTAL(103,$C$8:$C22),"")</f>
        <v>15</v>
      </c>
      <c r="C22" s="349" t="s">
        <v>1630</v>
      </c>
      <c r="D22" s="339" t="s">
        <v>1814</v>
      </c>
      <c r="E22" s="351" t="s">
        <v>1629</v>
      </c>
      <c r="F22" s="340" t="s">
        <v>1815</v>
      </c>
      <c r="G22" s="340" t="s">
        <v>1198</v>
      </c>
      <c r="H22" s="340" t="s">
        <v>1792</v>
      </c>
      <c r="I22" s="340" t="s">
        <v>1816</v>
      </c>
      <c r="J22" s="341">
        <v>41640</v>
      </c>
      <c r="K22" s="342">
        <v>0</v>
      </c>
      <c r="L22" s="341">
        <v>41640</v>
      </c>
      <c r="M22" s="341">
        <v>42217</v>
      </c>
      <c r="N22" s="343">
        <v>0</v>
      </c>
      <c r="O22" s="342">
        <f t="shared" si="0"/>
        <v>20</v>
      </c>
      <c r="P22" s="344">
        <v>1150000</v>
      </c>
      <c r="Q22" s="345">
        <f t="shared" si="3"/>
        <v>52150000</v>
      </c>
      <c r="R22" s="345">
        <f t="shared" si="2"/>
        <v>0</v>
      </c>
      <c r="S22" s="345">
        <f>3700000+4200000+4875000+4875000</f>
        <v>17650000</v>
      </c>
      <c r="T22" s="345">
        <f>30*P22</f>
        <v>34500000</v>
      </c>
      <c r="U22" s="346" t="s">
        <v>2196</v>
      </c>
      <c r="V22" s="347">
        <v>42661</v>
      </c>
      <c r="W22" s="348"/>
    </row>
    <row r="23" spans="1:23" s="204" customFormat="1" ht="27" customHeight="1">
      <c r="A23" s="325">
        <f>IF(B23&lt;&gt;"",SUBTOTAL(103,$D$8:$D23),"")</f>
        <v>16</v>
      </c>
      <c r="B23" s="97">
        <f>IF(C23&lt;&gt;"",SUBTOTAL(103,$C$8:$C23),"")</f>
        <v>16</v>
      </c>
      <c r="C23" s="350" t="s">
        <v>1643</v>
      </c>
      <c r="D23" s="339" t="s">
        <v>1847</v>
      </c>
      <c r="E23" s="351" t="s">
        <v>1644</v>
      </c>
      <c r="F23" s="340" t="s">
        <v>1848</v>
      </c>
      <c r="G23" s="340" t="s">
        <v>1198</v>
      </c>
      <c r="H23" s="340" t="s">
        <v>1804</v>
      </c>
      <c r="I23" s="340" t="s">
        <v>1289</v>
      </c>
      <c r="J23" s="341">
        <v>41640</v>
      </c>
      <c r="K23" s="342">
        <v>0</v>
      </c>
      <c r="L23" s="341">
        <v>41640</v>
      </c>
      <c r="M23" s="341">
        <v>42217</v>
      </c>
      <c r="N23" s="343">
        <v>0</v>
      </c>
      <c r="O23" s="342">
        <f aca="true" t="shared" si="4" ref="O23:O28">DATEDIF(L23,M23,"m")+1</f>
        <v>20</v>
      </c>
      <c r="P23" s="344">
        <v>1150000</v>
      </c>
      <c r="Q23" s="345">
        <f aca="true" t="shared" si="5" ref="Q23:Q35">R23+S23+T23</f>
        <v>52725000</v>
      </c>
      <c r="R23" s="345">
        <f t="shared" si="2"/>
        <v>0</v>
      </c>
      <c r="S23" s="345">
        <f>8475000+9750000</f>
        <v>18225000</v>
      </c>
      <c r="T23" s="345">
        <f>30*P23</f>
        <v>34500000</v>
      </c>
      <c r="U23" s="346" t="s">
        <v>2197</v>
      </c>
      <c r="V23" s="347">
        <v>42661</v>
      </c>
      <c r="W23" s="348"/>
    </row>
    <row r="24" spans="1:23" s="204" customFormat="1" ht="27" customHeight="1">
      <c r="A24" s="325">
        <f>IF(B24&lt;&gt;"",SUBTOTAL(103,$D$8:$D24),"")</f>
        <v>17</v>
      </c>
      <c r="B24" s="97">
        <f>IF(C24&lt;&gt;"",SUBTOTAL(103,$C$8:$C24),"")</f>
        <v>17</v>
      </c>
      <c r="C24" s="350" t="s">
        <v>1647</v>
      </c>
      <c r="D24" s="339" t="s">
        <v>1855</v>
      </c>
      <c r="E24" s="351" t="s">
        <v>1648</v>
      </c>
      <c r="F24" s="340" t="s">
        <v>1856</v>
      </c>
      <c r="G24" s="340" t="s">
        <v>1198</v>
      </c>
      <c r="H24" s="340" t="s">
        <v>1804</v>
      </c>
      <c r="I24" s="340" t="s">
        <v>252</v>
      </c>
      <c r="J24" s="341">
        <v>41640</v>
      </c>
      <c r="K24" s="342">
        <v>0</v>
      </c>
      <c r="L24" s="341">
        <v>41640</v>
      </c>
      <c r="M24" s="341">
        <v>42217</v>
      </c>
      <c r="N24" s="343">
        <v>0</v>
      </c>
      <c r="O24" s="342">
        <f t="shared" si="4"/>
        <v>20</v>
      </c>
      <c r="P24" s="344">
        <v>1150000</v>
      </c>
      <c r="Q24" s="345">
        <f t="shared" si="5"/>
        <v>52725000</v>
      </c>
      <c r="R24" s="345">
        <f t="shared" si="2"/>
        <v>0</v>
      </c>
      <c r="S24" s="345">
        <f>7700000+10525000</f>
        <v>18225000</v>
      </c>
      <c r="T24" s="345">
        <f>30*P24</f>
        <v>34500000</v>
      </c>
      <c r="U24" s="346" t="s">
        <v>2198</v>
      </c>
      <c r="V24" s="347">
        <v>42661</v>
      </c>
      <c r="W24" s="348"/>
    </row>
    <row r="25" spans="1:23" s="204" customFormat="1" ht="27" customHeight="1">
      <c r="A25" s="325">
        <f>IF(B25&lt;&gt;"",SUBTOTAL(103,$D$8:$D25),"")</f>
        <v>18</v>
      </c>
      <c r="B25" s="97">
        <f>IF(C25&lt;&gt;"",SUBTOTAL(103,$C$8:$C25),"")</f>
        <v>18</v>
      </c>
      <c r="C25" s="350" t="s">
        <v>1649</v>
      </c>
      <c r="D25" s="339" t="s">
        <v>1857</v>
      </c>
      <c r="E25" s="351" t="s">
        <v>1648</v>
      </c>
      <c r="F25" s="340" t="s">
        <v>1858</v>
      </c>
      <c r="G25" s="340" t="s">
        <v>1198</v>
      </c>
      <c r="H25" s="340" t="s">
        <v>1859</v>
      </c>
      <c r="I25" s="340" t="s">
        <v>1860</v>
      </c>
      <c r="J25" s="341">
        <v>41640</v>
      </c>
      <c r="K25" s="342">
        <v>0</v>
      </c>
      <c r="L25" s="341">
        <v>41640</v>
      </c>
      <c r="M25" s="341">
        <v>42217</v>
      </c>
      <c r="N25" s="343">
        <v>0</v>
      </c>
      <c r="O25" s="342">
        <f t="shared" si="4"/>
        <v>20</v>
      </c>
      <c r="P25" s="344">
        <v>1150000</v>
      </c>
      <c r="Q25" s="345">
        <f t="shared" si="5"/>
        <v>51825000</v>
      </c>
      <c r="R25" s="345">
        <f t="shared" si="2"/>
        <v>0</v>
      </c>
      <c r="S25" s="345">
        <f>7275000+8250000</f>
        <v>15525000</v>
      </c>
      <c r="T25" s="345">
        <f>30*1210000</f>
        <v>36300000</v>
      </c>
      <c r="U25" s="346" t="s">
        <v>2199</v>
      </c>
      <c r="V25" s="347">
        <v>42662</v>
      </c>
      <c r="W25" s="348"/>
    </row>
    <row r="26" spans="1:23" s="204" customFormat="1" ht="27" customHeight="1">
      <c r="A26" s="325">
        <f>IF(B26&lt;&gt;"",SUBTOTAL(103,$D$8:$D26),"")</f>
        <v>19</v>
      </c>
      <c r="B26" s="97">
        <f>IF(C26&lt;&gt;"",SUBTOTAL(103,$C$8:$C26),"")</f>
        <v>19</v>
      </c>
      <c r="C26" s="350" t="s">
        <v>1650</v>
      </c>
      <c r="D26" s="339" t="s">
        <v>1809</v>
      </c>
      <c r="E26" s="351" t="s">
        <v>1861</v>
      </c>
      <c r="F26" s="340" t="s">
        <v>1862</v>
      </c>
      <c r="G26" s="340" t="s">
        <v>1198</v>
      </c>
      <c r="H26" s="340" t="s">
        <v>1792</v>
      </c>
      <c r="I26" s="340" t="s">
        <v>252</v>
      </c>
      <c r="J26" s="341">
        <v>41640</v>
      </c>
      <c r="K26" s="342">
        <v>0</v>
      </c>
      <c r="L26" s="341">
        <v>41640</v>
      </c>
      <c r="M26" s="341">
        <v>42217</v>
      </c>
      <c r="N26" s="343">
        <v>0</v>
      </c>
      <c r="O26" s="342">
        <f t="shared" si="4"/>
        <v>20</v>
      </c>
      <c r="P26" s="344">
        <v>1150000</v>
      </c>
      <c r="Q26" s="345">
        <f t="shared" si="5"/>
        <v>52725000</v>
      </c>
      <c r="R26" s="345">
        <f t="shared" si="2"/>
        <v>0</v>
      </c>
      <c r="S26" s="345">
        <f>7700000+10525000</f>
        <v>18225000</v>
      </c>
      <c r="T26" s="345">
        <f>30*P26</f>
        <v>34500000</v>
      </c>
      <c r="U26" s="346" t="s">
        <v>2200</v>
      </c>
      <c r="V26" s="347">
        <v>42662</v>
      </c>
      <c r="W26" s="348"/>
    </row>
    <row r="27" spans="1:23" s="204" customFormat="1" ht="27" customHeight="1">
      <c r="A27" s="325">
        <f>IF(B27&lt;&gt;"",SUBTOTAL(103,$D$8:$D27),"")</f>
        <v>20</v>
      </c>
      <c r="B27" s="97">
        <f>IF(C27&lt;&gt;"",SUBTOTAL(103,$C$8:$C27),"")</f>
        <v>20</v>
      </c>
      <c r="C27" s="350" t="s">
        <v>1651</v>
      </c>
      <c r="D27" s="339" t="s">
        <v>1863</v>
      </c>
      <c r="E27" s="351" t="s">
        <v>1613</v>
      </c>
      <c r="F27" s="340" t="s">
        <v>1864</v>
      </c>
      <c r="G27" s="340" t="s">
        <v>1198</v>
      </c>
      <c r="H27" s="340" t="s">
        <v>1798</v>
      </c>
      <c r="I27" s="340" t="s">
        <v>524</v>
      </c>
      <c r="J27" s="341">
        <v>41640</v>
      </c>
      <c r="K27" s="342">
        <v>0</v>
      </c>
      <c r="L27" s="341">
        <v>41640</v>
      </c>
      <c r="M27" s="341">
        <v>42217</v>
      </c>
      <c r="N27" s="343">
        <v>0</v>
      </c>
      <c r="O27" s="342">
        <f t="shared" si="4"/>
        <v>20</v>
      </c>
      <c r="P27" s="344">
        <v>1150000</v>
      </c>
      <c r="Q27" s="345">
        <f t="shared" si="5"/>
        <v>51337500</v>
      </c>
      <c r="R27" s="345">
        <f t="shared" si="2"/>
        <v>0</v>
      </c>
      <c r="S27" s="345">
        <f>8250000+6787500</f>
        <v>15037500</v>
      </c>
      <c r="T27" s="345">
        <f>30*1210000</f>
        <v>36300000</v>
      </c>
      <c r="U27" s="346" t="s">
        <v>2201</v>
      </c>
      <c r="V27" s="347">
        <v>42662</v>
      </c>
      <c r="W27" s="348"/>
    </row>
    <row r="28" spans="1:23" s="204" customFormat="1" ht="27" customHeight="1">
      <c r="A28" s="325">
        <f>IF(B28&lt;&gt;"",SUBTOTAL(103,$D$8:$D28),"")</f>
        <v>21</v>
      </c>
      <c r="B28" s="97">
        <f>IF(C28&lt;&gt;"",SUBTOTAL(103,$C$8:$C28),"")</f>
        <v>21</v>
      </c>
      <c r="C28" s="350" t="s">
        <v>1654</v>
      </c>
      <c r="D28" s="339" t="s">
        <v>1868</v>
      </c>
      <c r="E28" s="351" t="s">
        <v>1655</v>
      </c>
      <c r="F28" s="340" t="s">
        <v>1869</v>
      </c>
      <c r="G28" s="340" t="s">
        <v>1198</v>
      </c>
      <c r="H28" s="340" t="s">
        <v>1859</v>
      </c>
      <c r="I28" s="340" t="s">
        <v>1816</v>
      </c>
      <c r="J28" s="341">
        <v>41640</v>
      </c>
      <c r="K28" s="342">
        <v>0</v>
      </c>
      <c r="L28" s="341">
        <v>41640</v>
      </c>
      <c r="M28" s="341">
        <v>42217</v>
      </c>
      <c r="N28" s="343">
        <v>0</v>
      </c>
      <c r="O28" s="342">
        <f t="shared" si="4"/>
        <v>20</v>
      </c>
      <c r="P28" s="344">
        <v>1150000</v>
      </c>
      <c r="Q28" s="345">
        <f t="shared" si="5"/>
        <v>47275000</v>
      </c>
      <c r="R28" s="345">
        <f t="shared" si="2"/>
        <v>0</v>
      </c>
      <c r="S28" s="345">
        <f>3700000+4875000+4200000</f>
        <v>12775000</v>
      </c>
      <c r="T28" s="345">
        <f>30*P28</f>
        <v>34500000</v>
      </c>
      <c r="U28" s="346" t="s">
        <v>2202</v>
      </c>
      <c r="V28" s="347">
        <v>42662</v>
      </c>
      <c r="W28" s="348"/>
    </row>
    <row r="29" spans="1:23" s="204" customFormat="1" ht="27" customHeight="1">
      <c r="A29" s="325">
        <f>IF(B29&lt;&gt;"",SUBTOTAL(103,$D$8:$D29),"")</f>
        <v>22</v>
      </c>
      <c r="B29" s="97">
        <f>IF(C29&lt;&gt;"",SUBTOTAL(103,$C$8:$C29),"")</f>
        <v>22</v>
      </c>
      <c r="C29" s="350" t="s">
        <v>1656</v>
      </c>
      <c r="D29" s="339" t="s">
        <v>1871</v>
      </c>
      <c r="E29" s="351" t="s">
        <v>1657</v>
      </c>
      <c r="F29" s="340" t="s">
        <v>1872</v>
      </c>
      <c r="G29" s="340" t="s">
        <v>1198</v>
      </c>
      <c r="H29" s="340" t="s">
        <v>1859</v>
      </c>
      <c r="I29" s="340" t="s">
        <v>1860</v>
      </c>
      <c r="J29" s="341">
        <v>41640</v>
      </c>
      <c r="K29" s="342">
        <v>0</v>
      </c>
      <c r="L29" s="341">
        <v>41640</v>
      </c>
      <c r="M29" s="341">
        <v>42217</v>
      </c>
      <c r="N29" s="343">
        <v>0</v>
      </c>
      <c r="O29" s="342">
        <f aca="true" t="shared" si="6" ref="O29:O42">DATEDIF(L29,M29,"m")+1</f>
        <v>20</v>
      </c>
      <c r="P29" s="344">
        <v>1150000</v>
      </c>
      <c r="Q29" s="345">
        <f t="shared" si="5"/>
        <v>51825000</v>
      </c>
      <c r="R29" s="345">
        <f t="shared" si="2"/>
        <v>0</v>
      </c>
      <c r="S29" s="345">
        <f>8250000+7275000</f>
        <v>15525000</v>
      </c>
      <c r="T29" s="345">
        <f>30*1210000</f>
        <v>36300000</v>
      </c>
      <c r="U29" s="346" t="s">
        <v>2203</v>
      </c>
      <c r="V29" s="347">
        <v>42662</v>
      </c>
      <c r="W29" s="348"/>
    </row>
    <row r="30" spans="1:23" s="204" customFormat="1" ht="41.25" customHeight="1">
      <c r="A30" s="325">
        <f>IF(B30&lt;&gt;"",SUBTOTAL(103,$D$8:$D30),"")</f>
        <v>23</v>
      </c>
      <c r="B30" s="97">
        <f>IF(C30&lt;&gt;"",SUBTOTAL(103,$C$8:$C30),"")</f>
        <v>23</v>
      </c>
      <c r="C30" s="350" t="s">
        <v>1658</v>
      </c>
      <c r="D30" s="339" t="s">
        <v>1873</v>
      </c>
      <c r="E30" s="351" t="s">
        <v>1659</v>
      </c>
      <c r="F30" s="340" t="s">
        <v>1874</v>
      </c>
      <c r="G30" s="340" t="s">
        <v>1198</v>
      </c>
      <c r="H30" s="340" t="s">
        <v>1383</v>
      </c>
      <c r="I30" s="340" t="s">
        <v>1875</v>
      </c>
      <c r="J30" s="341">
        <v>41640</v>
      </c>
      <c r="K30" s="342">
        <v>0</v>
      </c>
      <c r="L30" s="341">
        <v>41640</v>
      </c>
      <c r="M30" s="341">
        <v>42217</v>
      </c>
      <c r="N30" s="343">
        <v>0</v>
      </c>
      <c r="O30" s="342">
        <f t="shared" si="6"/>
        <v>20</v>
      </c>
      <c r="P30" s="344">
        <v>1150000</v>
      </c>
      <c r="Q30" s="345">
        <f t="shared" si="5"/>
        <v>55587500</v>
      </c>
      <c r="R30" s="345">
        <f t="shared" si="2"/>
        <v>0</v>
      </c>
      <c r="S30" s="345">
        <f>9000000+10287500</f>
        <v>19287500</v>
      </c>
      <c r="T30" s="345">
        <f>30*1210000</f>
        <v>36300000</v>
      </c>
      <c r="U30" s="346" t="s">
        <v>2204</v>
      </c>
      <c r="V30" s="347">
        <v>42662</v>
      </c>
      <c r="W30" s="348"/>
    </row>
    <row r="31" spans="1:23" s="204" customFormat="1" ht="27" customHeight="1">
      <c r="A31" s="325">
        <f>IF(B31&lt;&gt;"",SUBTOTAL(103,$D$8:$D31),"")</f>
        <v>24</v>
      </c>
      <c r="B31" s="97">
        <f>IF(C31&lt;&gt;"",SUBTOTAL(103,$C$8:$C31),"")</f>
        <v>24</v>
      </c>
      <c r="C31" s="350" t="s">
        <v>1663</v>
      </c>
      <c r="D31" s="339" t="s">
        <v>1884</v>
      </c>
      <c r="E31" s="351" t="s">
        <v>1602</v>
      </c>
      <c r="F31" s="340" t="s">
        <v>1885</v>
      </c>
      <c r="G31" s="340" t="s">
        <v>1198</v>
      </c>
      <c r="H31" s="340" t="s">
        <v>1798</v>
      </c>
      <c r="I31" s="340" t="s">
        <v>1289</v>
      </c>
      <c r="J31" s="341">
        <v>41640</v>
      </c>
      <c r="K31" s="342">
        <v>0</v>
      </c>
      <c r="L31" s="341">
        <v>41640</v>
      </c>
      <c r="M31" s="341">
        <v>42217</v>
      </c>
      <c r="N31" s="343">
        <v>0</v>
      </c>
      <c r="O31" s="342">
        <f t="shared" si="6"/>
        <v>20</v>
      </c>
      <c r="P31" s="344">
        <v>1150000</v>
      </c>
      <c r="Q31" s="345">
        <f t="shared" si="5"/>
        <v>50025000</v>
      </c>
      <c r="R31" s="345">
        <f t="shared" si="2"/>
        <v>0</v>
      </c>
      <c r="S31" s="345">
        <f>8250000+7275000</f>
        <v>15525000</v>
      </c>
      <c r="T31" s="345">
        <f>30*P31</f>
        <v>34500000</v>
      </c>
      <c r="U31" s="346" t="s">
        <v>2205</v>
      </c>
      <c r="V31" s="347">
        <v>42662</v>
      </c>
      <c r="W31" s="348"/>
    </row>
    <row r="32" spans="1:23" s="204" customFormat="1" ht="27" customHeight="1">
      <c r="A32" s="325">
        <f>IF(B32&lt;&gt;"",SUBTOTAL(103,$D$8:$D32),"")</f>
        <v>25</v>
      </c>
      <c r="B32" s="97">
        <f>IF(C32&lt;&gt;"",SUBTOTAL(103,$C$8:$C32),"")</f>
        <v>25</v>
      </c>
      <c r="C32" s="350" t="s">
        <v>1666</v>
      </c>
      <c r="D32" s="339" t="s">
        <v>1892</v>
      </c>
      <c r="E32" s="351" t="s">
        <v>1642</v>
      </c>
      <c r="F32" s="340" t="s">
        <v>1893</v>
      </c>
      <c r="G32" s="340" t="s">
        <v>1198</v>
      </c>
      <c r="H32" s="340" t="s">
        <v>1792</v>
      </c>
      <c r="I32" s="340" t="s">
        <v>1821</v>
      </c>
      <c r="J32" s="341">
        <v>41640</v>
      </c>
      <c r="K32" s="342">
        <v>0</v>
      </c>
      <c r="L32" s="341">
        <v>41640</v>
      </c>
      <c r="M32" s="341">
        <v>42217</v>
      </c>
      <c r="N32" s="343">
        <v>0</v>
      </c>
      <c r="O32" s="342">
        <f t="shared" si="6"/>
        <v>20</v>
      </c>
      <c r="P32" s="344">
        <v>1150000</v>
      </c>
      <c r="Q32" s="345">
        <f t="shared" si="5"/>
        <v>52150000</v>
      </c>
      <c r="R32" s="345">
        <f t="shared" si="2"/>
        <v>0</v>
      </c>
      <c r="S32" s="345">
        <f>4200000+3700000+4875000+4875000</f>
        <v>17650000</v>
      </c>
      <c r="T32" s="345">
        <f>30*P32</f>
        <v>34500000</v>
      </c>
      <c r="U32" s="346" t="s">
        <v>2206</v>
      </c>
      <c r="V32" s="347">
        <v>42662</v>
      </c>
      <c r="W32" s="348"/>
    </row>
    <row r="33" spans="1:23" s="204" customFormat="1" ht="39" customHeight="1">
      <c r="A33" s="325">
        <f>IF(B33&lt;&gt;"",SUBTOTAL(103,$D$8:$D33),"")</f>
        <v>26</v>
      </c>
      <c r="B33" s="97">
        <f>IF(C33&lt;&gt;"",SUBTOTAL(103,$C$8:$C33),"")</f>
        <v>26</v>
      </c>
      <c r="C33" s="350" t="s">
        <v>1670</v>
      </c>
      <c r="D33" s="339" t="s">
        <v>1898</v>
      </c>
      <c r="E33" s="351" t="s">
        <v>1671</v>
      </c>
      <c r="F33" s="340" t="s">
        <v>1899</v>
      </c>
      <c r="G33" s="340" t="s">
        <v>1198</v>
      </c>
      <c r="H33" s="340" t="s">
        <v>1778</v>
      </c>
      <c r="I33" s="340" t="s">
        <v>252</v>
      </c>
      <c r="J33" s="341">
        <v>41640</v>
      </c>
      <c r="K33" s="342">
        <v>0</v>
      </c>
      <c r="L33" s="341">
        <v>41640</v>
      </c>
      <c r="M33" s="341">
        <v>42217</v>
      </c>
      <c r="N33" s="343">
        <v>0</v>
      </c>
      <c r="O33" s="342">
        <f t="shared" si="6"/>
        <v>20</v>
      </c>
      <c r="P33" s="344">
        <v>1150000</v>
      </c>
      <c r="Q33" s="345">
        <f t="shared" si="5"/>
        <v>50025000</v>
      </c>
      <c r="R33" s="345">
        <f t="shared" si="2"/>
        <v>0</v>
      </c>
      <c r="S33" s="345">
        <f>8725000+6800000</f>
        <v>15525000</v>
      </c>
      <c r="T33" s="345">
        <f>30*P33</f>
        <v>34500000</v>
      </c>
      <c r="U33" s="346" t="s">
        <v>2207</v>
      </c>
      <c r="V33" s="347">
        <v>42662</v>
      </c>
      <c r="W33" s="348"/>
    </row>
    <row r="34" spans="1:23" s="204" customFormat="1" ht="27" customHeight="1">
      <c r="A34" s="325">
        <f>IF(B34&lt;&gt;"",SUBTOTAL(103,$D$8:$D34),"")</f>
        <v>27</v>
      </c>
      <c r="B34" s="97">
        <f>IF(C34&lt;&gt;"",SUBTOTAL(103,$C$8:$C34),"")</f>
        <v>27</v>
      </c>
      <c r="C34" s="350" t="s">
        <v>1672</v>
      </c>
      <c r="D34" s="339" t="s">
        <v>1900</v>
      </c>
      <c r="E34" s="351" t="s">
        <v>1673</v>
      </c>
      <c r="F34" s="340" t="s">
        <v>1901</v>
      </c>
      <c r="G34" s="340" t="s">
        <v>1198</v>
      </c>
      <c r="H34" s="340" t="s">
        <v>1798</v>
      </c>
      <c r="I34" s="340" t="s">
        <v>524</v>
      </c>
      <c r="J34" s="341">
        <v>41640</v>
      </c>
      <c r="K34" s="342">
        <v>0</v>
      </c>
      <c r="L34" s="341">
        <v>41640</v>
      </c>
      <c r="M34" s="341">
        <v>42217</v>
      </c>
      <c r="N34" s="343">
        <v>0</v>
      </c>
      <c r="O34" s="342">
        <f t="shared" si="6"/>
        <v>20</v>
      </c>
      <c r="P34" s="344">
        <v>1150000</v>
      </c>
      <c r="Q34" s="345">
        <f t="shared" si="5"/>
        <v>51337500</v>
      </c>
      <c r="R34" s="345">
        <f t="shared" si="2"/>
        <v>0</v>
      </c>
      <c r="S34" s="345">
        <f>6787500+8250000</f>
        <v>15037500</v>
      </c>
      <c r="T34" s="345">
        <f>30*1210000</f>
        <v>36300000</v>
      </c>
      <c r="U34" s="346" t="s">
        <v>2208</v>
      </c>
      <c r="V34" s="347">
        <v>42662</v>
      </c>
      <c r="W34" s="348"/>
    </row>
    <row r="35" spans="1:23" s="204" customFormat="1" ht="34.5" customHeight="1">
      <c r="A35" s="325">
        <f>IF(B35&lt;&gt;"",SUBTOTAL(103,$D$8:$D35),"")</f>
        <v>28</v>
      </c>
      <c r="B35" s="97">
        <f>IF(C35&lt;&gt;"",SUBTOTAL(103,$C$8:$C35),"")</f>
        <v>28</v>
      </c>
      <c r="C35" s="350" t="s">
        <v>1674</v>
      </c>
      <c r="D35" s="339" t="s">
        <v>1902</v>
      </c>
      <c r="E35" s="351" t="s">
        <v>1675</v>
      </c>
      <c r="F35" s="340" t="s">
        <v>1903</v>
      </c>
      <c r="G35" s="340" t="s">
        <v>1198</v>
      </c>
      <c r="H35" s="340" t="s">
        <v>1904</v>
      </c>
      <c r="I35" s="340" t="s">
        <v>1285</v>
      </c>
      <c r="J35" s="341">
        <v>41640</v>
      </c>
      <c r="K35" s="342">
        <v>0</v>
      </c>
      <c r="L35" s="341">
        <v>41640</v>
      </c>
      <c r="M35" s="341">
        <v>42217</v>
      </c>
      <c r="N35" s="343">
        <v>0</v>
      </c>
      <c r="O35" s="342">
        <f t="shared" si="6"/>
        <v>20</v>
      </c>
      <c r="P35" s="344">
        <v>1150000</v>
      </c>
      <c r="Q35" s="345">
        <f t="shared" si="5"/>
        <v>52725000</v>
      </c>
      <c r="R35" s="345">
        <f t="shared" si="2"/>
        <v>0</v>
      </c>
      <c r="S35" s="345">
        <f>8475000+9750000</f>
        <v>18225000</v>
      </c>
      <c r="T35" s="345">
        <f aca="true" t="shared" si="7" ref="T35:T42">30*P35</f>
        <v>34500000</v>
      </c>
      <c r="U35" s="346" t="s">
        <v>2209</v>
      </c>
      <c r="V35" s="347">
        <v>42662</v>
      </c>
      <c r="W35" s="348"/>
    </row>
    <row r="36" spans="1:23" s="204" customFormat="1" ht="35.25" customHeight="1">
      <c r="A36" s="325">
        <f>IF(B36&lt;&gt;"",SUBTOTAL(103,$D$8:$D36),"")</f>
        <v>29</v>
      </c>
      <c r="B36" s="97">
        <f>IF(C36&lt;&gt;"",SUBTOTAL(103,$C$8:$C36),"")</f>
        <v>29</v>
      </c>
      <c r="C36" s="350" t="s">
        <v>1298</v>
      </c>
      <c r="D36" s="339" t="s">
        <v>1917</v>
      </c>
      <c r="E36" s="351" t="s">
        <v>1682</v>
      </c>
      <c r="F36" s="340" t="s">
        <v>1918</v>
      </c>
      <c r="G36" s="340" t="s">
        <v>1198</v>
      </c>
      <c r="H36" s="340" t="s">
        <v>1286</v>
      </c>
      <c r="I36" s="340" t="s">
        <v>252</v>
      </c>
      <c r="J36" s="341">
        <v>41640</v>
      </c>
      <c r="K36" s="342">
        <v>0</v>
      </c>
      <c r="L36" s="341">
        <v>41640</v>
      </c>
      <c r="M36" s="341">
        <v>42217</v>
      </c>
      <c r="N36" s="343">
        <v>0</v>
      </c>
      <c r="O36" s="342">
        <f t="shared" si="6"/>
        <v>20</v>
      </c>
      <c r="P36" s="344">
        <v>1150000</v>
      </c>
      <c r="Q36" s="345">
        <f aca="true" t="shared" si="8" ref="Q36:Q42">R36+S36+T36</f>
        <v>50025000</v>
      </c>
      <c r="R36" s="345">
        <f t="shared" si="2"/>
        <v>0</v>
      </c>
      <c r="S36" s="345">
        <f>8300000+7225000</f>
        <v>15525000</v>
      </c>
      <c r="T36" s="345">
        <f t="shared" si="7"/>
        <v>34500000</v>
      </c>
      <c r="U36" s="346" t="s">
        <v>2210</v>
      </c>
      <c r="V36" s="347">
        <v>42662</v>
      </c>
      <c r="W36" s="348"/>
    </row>
    <row r="37" spans="1:23" s="204" customFormat="1" ht="27" customHeight="1">
      <c r="A37" s="325">
        <f>IF(B37&lt;&gt;"",SUBTOTAL(103,$D$8:$D37),"")</f>
        <v>30</v>
      </c>
      <c r="B37" s="97">
        <f>IF(C37&lt;&gt;"",SUBTOTAL(103,$C$8:$C37),"")</f>
        <v>30</v>
      </c>
      <c r="C37" s="350" t="s">
        <v>1683</v>
      </c>
      <c r="D37" s="339" t="s">
        <v>1919</v>
      </c>
      <c r="E37" s="351" t="s">
        <v>1684</v>
      </c>
      <c r="F37" s="340" t="s">
        <v>1920</v>
      </c>
      <c r="G37" s="340" t="s">
        <v>1198</v>
      </c>
      <c r="H37" s="340" t="s">
        <v>1798</v>
      </c>
      <c r="I37" s="340" t="s">
        <v>1462</v>
      </c>
      <c r="J37" s="341">
        <v>41640</v>
      </c>
      <c r="K37" s="342">
        <v>0</v>
      </c>
      <c r="L37" s="341">
        <v>41640</v>
      </c>
      <c r="M37" s="341">
        <v>42217</v>
      </c>
      <c r="N37" s="343">
        <v>0</v>
      </c>
      <c r="O37" s="342">
        <f t="shared" si="6"/>
        <v>20</v>
      </c>
      <c r="P37" s="344">
        <v>1150000</v>
      </c>
      <c r="Q37" s="345">
        <f t="shared" si="8"/>
        <v>50025000</v>
      </c>
      <c r="R37" s="345">
        <f t="shared" si="2"/>
        <v>0</v>
      </c>
      <c r="S37" s="345">
        <f>7275000+8250000</f>
        <v>15525000</v>
      </c>
      <c r="T37" s="345">
        <f t="shared" si="7"/>
        <v>34500000</v>
      </c>
      <c r="U37" s="346" t="s">
        <v>2211</v>
      </c>
      <c r="V37" s="347">
        <v>42662</v>
      </c>
      <c r="W37" s="348"/>
    </row>
    <row r="38" spans="1:23" s="204" customFormat="1" ht="38.25" customHeight="1">
      <c r="A38" s="325">
        <f>IF(B38&lt;&gt;"",SUBTOTAL(103,$D$8:$D38),"")</f>
        <v>31</v>
      </c>
      <c r="B38" s="97">
        <f>IF(C38&lt;&gt;"",SUBTOTAL(103,$C$8:$C38),"")</f>
        <v>31</v>
      </c>
      <c r="C38" s="350" t="s">
        <v>1687</v>
      </c>
      <c r="D38" s="339" t="s">
        <v>1926</v>
      </c>
      <c r="E38" s="351" t="s">
        <v>1688</v>
      </c>
      <c r="F38" s="340" t="s">
        <v>1927</v>
      </c>
      <c r="G38" s="340" t="s">
        <v>1198</v>
      </c>
      <c r="H38" s="340" t="s">
        <v>1804</v>
      </c>
      <c r="I38" s="340" t="s">
        <v>1289</v>
      </c>
      <c r="J38" s="341">
        <v>41640</v>
      </c>
      <c r="K38" s="342">
        <v>0</v>
      </c>
      <c r="L38" s="341">
        <v>41640</v>
      </c>
      <c r="M38" s="341">
        <v>42217</v>
      </c>
      <c r="N38" s="343">
        <v>0</v>
      </c>
      <c r="O38" s="342">
        <f t="shared" si="6"/>
        <v>20</v>
      </c>
      <c r="P38" s="344">
        <v>1150000</v>
      </c>
      <c r="Q38" s="345">
        <f t="shared" si="8"/>
        <v>52725000</v>
      </c>
      <c r="R38" s="345">
        <f t="shared" si="2"/>
        <v>0</v>
      </c>
      <c r="S38" s="345">
        <f>8475000+9750000</f>
        <v>18225000</v>
      </c>
      <c r="T38" s="345">
        <f t="shared" si="7"/>
        <v>34500000</v>
      </c>
      <c r="U38" s="346" t="s">
        <v>2212</v>
      </c>
      <c r="V38" s="347">
        <v>42662</v>
      </c>
      <c r="W38" s="348"/>
    </row>
    <row r="39" spans="1:23" s="204" customFormat="1" ht="33" customHeight="1">
      <c r="A39" s="325">
        <f>IF(B39&lt;&gt;"",SUBTOTAL(103,$D$8:$D39),"")</f>
        <v>32</v>
      </c>
      <c r="B39" s="97">
        <f>IF(C39&lt;&gt;"",SUBTOTAL(103,$C$8:$C39),"")</f>
        <v>32</v>
      </c>
      <c r="C39" s="350" t="s">
        <v>1691</v>
      </c>
      <c r="D39" s="339" t="s">
        <v>1934</v>
      </c>
      <c r="E39" s="351" t="s">
        <v>1604</v>
      </c>
      <c r="F39" s="340" t="s">
        <v>1935</v>
      </c>
      <c r="G39" s="340" t="s">
        <v>1198</v>
      </c>
      <c r="H39" s="340" t="s">
        <v>1287</v>
      </c>
      <c r="I39" s="340" t="s">
        <v>1289</v>
      </c>
      <c r="J39" s="341">
        <v>41640</v>
      </c>
      <c r="K39" s="342">
        <v>0</v>
      </c>
      <c r="L39" s="341">
        <v>41640</v>
      </c>
      <c r="M39" s="341">
        <v>42217</v>
      </c>
      <c r="N39" s="343">
        <v>0</v>
      </c>
      <c r="O39" s="342">
        <f t="shared" si="6"/>
        <v>20</v>
      </c>
      <c r="P39" s="344">
        <v>1150000</v>
      </c>
      <c r="Q39" s="345">
        <f t="shared" si="8"/>
        <v>52725000</v>
      </c>
      <c r="R39" s="345">
        <f t="shared" si="2"/>
        <v>0</v>
      </c>
      <c r="S39" s="345">
        <f>9750000+8475000</f>
        <v>18225000</v>
      </c>
      <c r="T39" s="345">
        <f t="shared" si="7"/>
        <v>34500000</v>
      </c>
      <c r="U39" s="346" t="s">
        <v>2213</v>
      </c>
      <c r="V39" s="347">
        <v>42662</v>
      </c>
      <c r="W39" s="348"/>
    </row>
    <row r="40" spans="1:23" s="204" customFormat="1" ht="35.25" customHeight="1">
      <c r="A40" s="325">
        <f>IF(B40&lt;&gt;"",SUBTOTAL(103,$D$8:$D40),"")</f>
        <v>33</v>
      </c>
      <c r="B40" s="97">
        <f>IF(C40&lt;&gt;"",SUBTOTAL(103,$C$8:$C40),"")</f>
        <v>33</v>
      </c>
      <c r="C40" s="350" t="s">
        <v>1698</v>
      </c>
      <c r="D40" s="339" t="s">
        <v>1947</v>
      </c>
      <c r="E40" s="351" t="s">
        <v>1688</v>
      </c>
      <c r="F40" s="340" t="s">
        <v>1948</v>
      </c>
      <c r="G40" s="340" t="s">
        <v>1198</v>
      </c>
      <c r="H40" s="340" t="s">
        <v>1949</v>
      </c>
      <c r="I40" s="340" t="s">
        <v>1289</v>
      </c>
      <c r="J40" s="341">
        <v>41640</v>
      </c>
      <c r="K40" s="342">
        <v>0</v>
      </c>
      <c r="L40" s="341">
        <v>41640</v>
      </c>
      <c r="M40" s="341">
        <v>42217</v>
      </c>
      <c r="N40" s="343">
        <v>0</v>
      </c>
      <c r="O40" s="342">
        <f t="shared" si="6"/>
        <v>20</v>
      </c>
      <c r="P40" s="344">
        <v>1150000</v>
      </c>
      <c r="Q40" s="345">
        <f t="shared" si="8"/>
        <v>50025000</v>
      </c>
      <c r="R40" s="345">
        <f t="shared" si="2"/>
        <v>0</v>
      </c>
      <c r="S40" s="345">
        <f>8250000+7275000</f>
        <v>15525000</v>
      </c>
      <c r="T40" s="345">
        <f t="shared" si="7"/>
        <v>34500000</v>
      </c>
      <c r="U40" s="346" t="s">
        <v>2214</v>
      </c>
      <c r="V40" s="347">
        <v>42662</v>
      </c>
      <c r="W40" s="348"/>
    </row>
    <row r="41" spans="1:23" s="204" customFormat="1" ht="40.5" customHeight="1">
      <c r="A41" s="325">
        <f>IF(B41&lt;&gt;"",SUBTOTAL(103,$D$8:$D41),"")</f>
        <v>34</v>
      </c>
      <c r="B41" s="97">
        <f>IF(C41&lt;&gt;"",SUBTOTAL(103,$C$8:$C41),"")</f>
        <v>34</v>
      </c>
      <c r="C41" s="350" t="s">
        <v>1701</v>
      </c>
      <c r="D41" s="339" t="s">
        <v>1955</v>
      </c>
      <c r="E41" s="351" t="s">
        <v>1702</v>
      </c>
      <c r="F41" s="340" t="s">
        <v>1953</v>
      </c>
      <c r="G41" s="340" t="s">
        <v>1198</v>
      </c>
      <c r="H41" s="340" t="s">
        <v>1379</v>
      </c>
      <c r="I41" s="340" t="s">
        <v>1933</v>
      </c>
      <c r="J41" s="341">
        <v>41640</v>
      </c>
      <c r="K41" s="342">
        <v>0</v>
      </c>
      <c r="L41" s="341">
        <v>41640</v>
      </c>
      <c r="M41" s="341">
        <v>42217</v>
      </c>
      <c r="N41" s="343">
        <v>0</v>
      </c>
      <c r="O41" s="342">
        <f t="shared" si="6"/>
        <v>20</v>
      </c>
      <c r="P41" s="344">
        <v>1150000</v>
      </c>
      <c r="Q41" s="345">
        <f t="shared" si="8"/>
        <v>54150000</v>
      </c>
      <c r="R41" s="345">
        <f t="shared" si="2"/>
        <v>0</v>
      </c>
      <c r="S41" s="345">
        <f>150000+12000000+7500000</f>
        <v>19650000</v>
      </c>
      <c r="T41" s="345">
        <f t="shared" si="7"/>
        <v>34500000</v>
      </c>
      <c r="U41" s="346" t="s">
        <v>2215</v>
      </c>
      <c r="V41" s="347">
        <v>42662</v>
      </c>
      <c r="W41" s="348"/>
    </row>
    <row r="42" spans="1:23" s="204" customFormat="1" ht="36.75" customHeight="1">
      <c r="A42" s="325">
        <f>IF(B42&lt;&gt;"",SUBTOTAL(103,$D$8:$D42),"")</f>
        <v>35</v>
      </c>
      <c r="B42" s="97">
        <f>IF(C42&lt;&gt;"",SUBTOTAL(103,$C$8:$C42),"")</f>
        <v>35</v>
      </c>
      <c r="C42" s="350" t="s">
        <v>424</v>
      </c>
      <c r="D42" s="339" t="s">
        <v>1956</v>
      </c>
      <c r="E42" s="351" t="s">
        <v>1703</v>
      </c>
      <c r="F42" s="340" t="s">
        <v>1957</v>
      </c>
      <c r="G42" s="340" t="s">
        <v>1198</v>
      </c>
      <c r="H42" s="340" t="s">
        <v>775</v>
      </c>
      <c r="I42" s="340" t="s">
        <v>1958</v>
      </c>
      <c r="J42" s="341">
        <v>41640</v>
      </c>
      <c r="K42" s="342">
        <v>0</v>
      </c>
      <c r="L42" s="341">
        <v>41640</v>
      </c>
      <c r="M42" s="341">
        <v>42217</v>
      </c>
      <c r="N42" s="343">
        <v>0</v>
      </c>
      <c r="O42" s="342">
        <f t="shared" si="6"/>
        <v>20</v>
      </c>
      <c r="P42" s="344">
        <v>1150000</v>
      </c>
      <c r="Q42" s="345">
        <f t="shared" si="8"/>
        <v>52620000</v>
      </c>
      <c r="R42" s="345">
        <f t="shared" si="2"/>
        <v>0</v>
      </c>
      <c r="S42" s="345">
        <f>9870000+8250000</f>
        <v>18120000</v>
      </c>
      <c r="T42" s="345">
        <f t="shared" si="7"/>
        <v>34500000</v>
      </c>
      <c r="U42" s="346" t="s">
        <v>2216</v>
      </c>
      <c r="V42" s="347">
        <v>42662</v>
      </c>
      <c r="W42" s="348"/>
    </row>
    <row r="43" spans="14:20" ht="15.75">
      <c r="N43" s="102"/>
      <c r="T43"/>
    </row>
    <row r="44" spans="14:20" ht="15.75">
      <c r="N44" s="102"/>
      <c r="T44"/>
    </row>
    <row r="45" spans="14:20" ht="15.75">
      <c r="N45" s="102"/>
      <c r="T45"/>
    </row>
    <row r="46" spans="14:20" ht="15.75">
      <c r="N46" s="102"/>
      <c r="T46"/>
    </row>
    <row r="47" spans="14:20" ht="15.75">
      <c r="N47" s="102"/>
      <c r="T47"/>
    </row>
    <row r="48" spans="14:20" ht="15.75">
      <c r="N48" s="102"/>
      <c r="T48"/>
    </row>
    <row r="49" spans="14:20" ht="15.75">
      <c r="N49" s="102"/>
      <c r="T49"/>
    </row>
    <row r="50" spans="14:20" ht="15.75">
      <c r="N50" s="102"/>
      <c r="T50"/>
    </row>
    <row r="51" spans="14:20" ht="15.75">
      <c r="N51" s="102"/>
      <c r="T51"/>
    </row>
    <row r="52" spans="14:20" ht="15.75">
      <c r="N52" s="102"/>
      <c r="T52"/>
    </row>
  </sheetData>
  <sheetProtection/>
  <mergeCells count="19">
    <mergeCell ref="F5:F6"/>
    <mergeCell ref="W5:W6"/>
    <mergeCell ref="N5:N6"/>
    <mergeCell ref="P5:P6"/>
    <mergeCell ref="Q5:T5"/>
    <mergeCell ref="O5:O6"/>
    <mergeCell ref="G5:G6"/>
    <mergeCell ref="H5:H6"/>
    <mergeCell ref="I5:I6"/>
    <mergeCell ref="A1:W1"/>
    <mergeCell ref="A2:W2"/>
    <mergeCell ref="J5:J6"/>
    <mergeCell ref="K5:K6"/>
    <mergeCell ref="L5:M5"/>
    <mergeCell ref="A5:A6"/>
    <mergeCell ref="B5:B6"/>
    <mergeCell ref="C5:C6"/>
    <mergeCell ref="D5:D6"/>
    <mergeCell ref="E5:E6"/>
  </mergeCells>
  <printOptions/>
  <pageMargins left="0.4" right="0.25" top="0.466666666666667" bottom="0.4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1"/>
  <sheetViews>
    <sheetView zoomScalePageLayoutView="0" workbookViewId="0" topLeftCell="A7">
      <selection activeCell="H20" sqref="A20:IV20"/>
    </sheetView>
  </sheetViews>
  <sheetFormatPr defaultColWidth="11.00390625" defaultRowHeight="15.75"/>
  <cols>
    <col min="1" max="1" width="11.00390625" style="88" customWidth="1"/>
    <col min="2" max="2" width="16.125" style="87" customWidth="1"/>
    <col min="3" max="3" width="13.75390625" style="87" bestFit="1" customWidth="1"/>
    <col min="4" max="4" width="11.00390625" style="87" customWidth="1"/>
    <col min="5" max="5" width="11.375" style="87" bestFit="1" customWidth="1"/>
    <col min="6" max="6" width="20.50390625" style="87" bestFit="1" customWidth="1"/>
    <col min="7" max="8" width="11.00390625" style="87" customWidth="1"/>
    <col min="9" max="9" width="12.375" style="87" bestFit="1" customWidth="1"/>
    <col min="10" max="18" width="11.00390625" style="87" customWidth="1"/>
    <col min="19" max="19" width="11.00390625" style="88" customWidth="1"/>
    <col min="20" max="20" width="34.625" style="88" customWidth="1"/>
    <col min="21" max="16384" width="11.00390625" style="88" customWidth="1"/>
  </cols>
  <sheetData>
    <row r="2" spans="1:20" ht="23.25" customHeight="1">
      <c r="A2" s="88" t="s">
        <v>334</v>
      </c>
      <c r="B2" s="386" t="s">
        <v>1257</v>
      </c>
      <c r="C2" s="386" t="s">
        <v>335</v>
      </c>
      <c r="D2" s="386" t="s">
        <v>339</v>
      </c>
      <c r="E2" s="389" t="s">
        <v>1040</v>
      </c>
      <c r="F2" s="391" t="s">
        <v>652</v>
      </c>
      <c r="G2" s="391" t="s">
        <v>1041</v>
      </c>
      <c r="H2" s="389" t="s">
        <v>340</v>
      </c>
      <c r="I2" s="391" t="s">
        <v>653</v>
      </c>
      <c r="J2" s="408" t="s">
        <v>1042</v>
      </c>
      <c r="K2" s="385" t="s">
        <v>1178</v>
      </c>
      <c r="L2" s="388" t="s">
        <v>1043</v>
      </c>
      <c r="M2" s="388"/>
      <c r="N2" s="388" t="s">
        <v>1039</v>
      </c>
      <c r="O2" s="403" t="s">
        <v>51</v>
      </c>
      <c r="P2" s="405" t="s">
        <v>204</v>
      </c>
      <c r="Q2" s="406"/>
      <c r="R2" s="406"/>
      <c r="S2" s="407"/>
      <c r="T2" s="401" t="s">
        <v>338</v>
      </c>
    </row>
    <row r="3" spans="2:20" ht="31.5">
      <c r="B3" s="387"/>
      <c r="C3" s="387"/>
      <c r="D3" s="387"/>
      <c r="E3" s="390"/>
      <c r="F3" s="392"/>
      <c r="G3" s="392"/>
      <c r="H3" s="390"/>
      <c r="I3" s="392"/>
      <c r="J3" s="409"/>
      <c r="K3" s="385"/>
      <c r="L3" s="27" t="s">
        <v>1179</v>
      </c>
      <c r="M3" s="27" t="s">
        <v>1180</v>
      </c>
      <c r="N3" s="388"/>
      <c r="O3" s="404"/>
      <c r="P3" s="28" t="s">
        <v>336</v>
      </c>
      <c r="Q3" s="28" t="s">
        <v>1045</v>
      </c>
      <c r="R3" s="28" t="s">
        <v>337</v>
      </c>
      <c r="S3" s="28" t="s">
        <v>1044</v>
      </c>
      <c r="T3" s="402"/>
    </row>
    <row r="4" spans="1:26" s="74" customFormat="1" ht="48">
      <c r="A4" s="393" t="s">
        <v>1965</v>
      </c>
      <c r="B4" s="55" t="s">
        <v>345</v>
      </c>
      <c r="C4" s="53" t="s">
        <v>981</v>
      </c>
      <c r="D4" s="30" t="s">
        <v>982</v>
      </c>
      <c r="E4" s="31" t="s">
        <v>89</v>
      </c>
      <c r="F4" s="31" t="s">
        <v>983</v>
      </c>
      <c r="G4" s="31" t="s">
        <v>341</v>
      </c>
      <c r="H4" s="31" t="s">
        <v>157</v>
      </c>
      <c r="I4" s="31" t="s">
        <v>90</v>
      </c>
      <c r="J4" s="89">
        <v>41640</v>
      </c>
      <c r="K4" s="90">
        <v>0</v>
      </c>
      <c r="L4" s="89">
        <v>41640</v>
      </c>
      <c r="M4" s="89">
        <v>42339</v>
      </c>
      <c r="N4" s="90">
        <v>20</v>
      </c>
      <c r="O4" s="91">
        <v>1150000</v>
      </c>
      <c r="P4" s="91">
        <f>-51875000-60500000</f>
        <v>-112375000</v>
      </c>
      <c r="Q4" s="91">
        <v>0</v>
      </c>
      <c r="R4" s="91">
        <v>0</v>
      </c>
      <c r="S4" s="91">
        <v>0</v>
      </c>
      <c r="T4" s="95" t="s">
        <v>1243</v>
      </c>
      <c r="U4" s="44"/>
      <c r="V4" s="44"/>
      <c r="W4" s="44"/>
      <c r="X4" s="44"/>
      <c r="Y4" s="33"/>
      <c r="Z4" s="33"/>
    </row>
    <row r="5" spans="1:24" s="33" customFormat="1" ht="24.75" customHeight="1">
      <c r="A5" s="393"/>
      <c r="B5" s="55" t="s">
        <v>672</v>
      </c>
      <c r="C5" s="53" t="s">
        <v>174</v>
      </c>
      <c r="D5" s="30" t="s">
        <v>14</v>
      </c>
      <c r="E5" s="31" t="s">
        <v>791</v>
      </c>
      <c r="F5" s="31" t="s">
        <v>15</v>
      </c>
      <c r="G5" s="31" t="s">
        <v>346</v>
      </c>
      <c r="H5" s="31" t="s">
        <v>16</v>
      </c>
      <c r="I5" s="31" t="s">
        <v>144</v>
      </c>
      <c r="J5" s="89">
        <v>41609</v>
      </c>
      <c r="K5" s="93"/>
      <c r="L5" s="89">
        <v>41609</v>
      </c>
      <c r="M5" s="89">
        <v>42309</v>
      </c>
      <c r="N5" s="93">
        <v>20</v>
      </c>
      <c r="O5" s="94">
        <v>1150000</v>
      </c>
      <c r="P5" s="91">
        <v>61267000</v>
      </c>
      <c r="Q5" s="91">
        <v>34500000</v>
      </c>
      <c r="R5" s="91">
        <v>26767000</v>
      </c>
      <c r="S5" s="91"/>
      <c r="T5" s="92" t="s">
        <v>1255</v>
      </c>
      <c r="U5" s="44"/>
      <c r="V5" s="44"/>
      <c r="W5" s="44"/>
      <c r="X5" s="44"/>
    </row>
    <row r="6" spans="1:24" s="33" customFormat="1" ht="36">
      <c r="A6" s="393"/>
      <c r="B6" s="145" t="s">
        <v>672</v>
      </c>
      <c r="C6" s="146" t="s">
        <v>104</v>
      </c>
      <c r="D6" s="147" t="s">
        <v>550</v>
      </c>
      <c r="E6" s="148" t="s">
        <v>789</v>
      </c>
      <c r="F6" s="149" t="s">
        <v>105</v>
      </c>
      <c r="G6" s="149" t="s">
        <v>341</v>
      </c>
      <c r="H6" s="149" t="s">
        <v>106</v>
      </c>
      <c r="I6" s="149" t="s">
        <v>107</v>
      </c>
      <c r="J6" s="150">
        <v>40179</v>
      </c>
      <c r="K6" s="151"/>
      <c r="L6" s="150">
        <v>40179</v>
      </c>
      <c r="M6" s="150">
        <v>41609</v>
      </c>
      <c r="N6" s="152">
        <v>48</v>
      </c>
      <c r="O6" s="153">
        <v>2178000</v>
      </c>
      <c r="P6" s="154">
        <v>156816000</v>
      </c>
      <c r="Q6" s="154">
        <v>156816000</v>
      </c>
      <c r="R6" s="154"/>
      <c r="S6" s="154"/>
      <c r="T6" s="155" t="s">
        <v>1256</v>
      </c>
      <c r="U6" s="44"/>
      <c r="V6" s="44"/>
      <c r="W6" s="44"/>
      <c r="X6" s="44"/>
    </row>
    <row r="7" spans="1:24" s="158" customFormat="1" ht="22.5">
      <c r="A7" s="156"/>
      <c r="B7" s="77" t="s">
        <v>1981</v>
      </c>
      <c r="C7" s="78" t="s">
        <v>304</v>
      </c>
      <c r="D7" s="79" t="s">
        <v>305</v>
      </c>
      <c r="E7" s="80" t="s">
        <v>719</v>
      </c>
      <c r="F7" s="80" t="s">
        <v>306</v>
      </c>
      <c r="G7" s="81" t="s">
        <v>346</v>
      </c>
      <c r="H7" s="80" t="s">
        <v>477</v>
      </c>
      <c r="I7" s="80" t="s">
        <v>665</v>
      </c>
      <c r="J7" s="188">
        <v>41030</v>
      </c>
      <c r="K7" s="138">
        <v>20</v>
      </c>
      <c r="L7" s="383" t="s">
        <v>46</v>
      </c>
      <c r="M7" s="384"/>
      <c r="N7" s="133">
        <v>0</v>
      </c>
      <c r="O7" s="134">
        <v>1150000</v>
      </c>
      <c r="P7" s="134">
        <f>Q7+R7+S7</f>
        <v>-27525000</v>
      </c>
      <c r="Q7" s="134">
        <f>N7*O7*1.5</f>
        <v>0</v>
      </c>
      <c r="R7" s="134">
        <v>-27525000</v>
      </c>
      <c r="S7" s="134">
        <v>0</v>
      </c>
      <c r="T7" s="139" t="s">
        <v>1541</v>
      </c>
      <c r="U7" s="135"/>
      <c r="V7" s="157"/>
      <c r="W7" s="157"/>
      <c r="X7" s="157"/>
    </row>
    <row r="8" spans="1:24" s="172" customFormat="1" ht="45">
      <c r="A8" s="159"/>
      <c r="B8" s="160" t="s">
        <v>345</v>
      </c>
      <c r="C8" s="78" t="s">
        <v>981</v>
      </c>
      <c r="D8" s="79" t="s">
        <v>982</v>
      </c>
      <c r="E8" s="80" t="s">
        <v>89</v>
      </c>
      <c r="F8" s="80" t="s">
        <v>983</v>
      </c>
      <c r="G8" s="81" t="s">
        <v>341</v>
      </c>
      <c r="H8" s="80" t="s">
        <v>157</v>
      </c>
      <c r="I8" s="80" t="s">
        <v>90</v>
      </c>
      <c r="J8" s="131">
        <v>41640</v>
      </c>
      <c r="K8" s="132">
        <v>0</v>
      </c>
      <c r="L8" s="131">
        <v>41640</v>
      </c>
      <c r="M8" s="131">
        <v>42339</v>
      </c>
      <c r="N8" s="132">
        <v>20</v>
      </c>
      <c r="O8" s="134">
        <v>1150000</v>
      </c>
      <c r="P8" s="134">
        <f>-51875000-60500000</f>
        <v>-112375000</v>
      </c>
      <c r="Q8" s="134">
        <v>0</v>
      </c>
      <c r="R8" s="134">
        <v>0</v>
      </c>
      <c r="S8" s="134">
        <v>0</v>
      </c>
      <c r="T8" s="85" t="s">
        <v>1243</v>
      </c>
      <c r="U8" s="135"/>
      <c r="V8" s="171"/>
      <c r="W8" s="171"/>
      <c r="X8" s="171"/>
    </row>
    <row r="9" spans="1:24" s="172" customFormat="1" ht="15.75">
      <c r="A9" s="159"/>
      <c r="B9" s="160"/>
      <c r="C9" s="191"/>
      <c r="D9" s="192"/>
      <c r="E9" s="193"/>
      <c r="F9" s="193"/>
      <c r="G9" s="194"/>
      <c r="H9" s="193"/>
      <c r="I9" s="193"/>
      <c r="J9" s="195"/>
      <c r="K9" s="196"/>
      <c r="L9" s="195"/>
      <c r="M9" s="195"/>
      <c r="N9" s="196"/>
      <c r="O9" s="197"/>
      <c r="P9" s="197"/>
      <c r="Q9" s="197"/>
      <c r="R9" s="197"/>
      <c r="S9" s="197"/>
      <c r="T9" s="198"/>
      <c r="U9" s="199"/>
      <c r="V9" s="171"/>
      <c r="W9" s="171"/>
      <c r="X9" s="171"/>
    </row>
    <row r="10" spans="1:24" s="172" customFormat="1" ht="15.75">
      <c r="A10" s="159"/>
      <c r="B10" s="160"/>
      <c r="C10" s="191"/>
      <c r="D10" s="192"/>
      <c r="E10" s="193"/>
      <c r="F10" s="193"/>
      <c r="G10" s="194"/>
      <c r="H10" s="193"/>
      <c r="I10" s="193"/>
      <c r="J10" s="195"/>
      <c r="K10" s="196"/>
      <c r="L10" s="195"/>
      <c r="M10" s="195"/>
      <c r="N10" s="196"/>
      <c r="O10" s="197"/>
      <c r="P10" s="197"/>
      <c r="Q10" s="197"/>
      <c r="R10" s="197"/>
      <c r="S10" s="197"/>
      <c r="T10" s="198"/>
      <c r="U10" s="199"/>
      <c r="V10" s="171"/>
      <c r="W10" s="171"/>
      <c r="X10" s="171"/>
    </row>
    <row r="11" spans="1:24" s="172" customFormat="1" ht="15.75">
      <c r="A11" s="159"/>
      <c r="B11" s="160"/>
      <c r="C11" s="161"/>
      <c r="D11" s="162"/>
      <c r="E11" s="163"/>
      <c r="F11" s="164"/>
      <c r="G11" s="164"/>
      <c r="H11" s="164"/>
      <c r="I11" s="164"/>
      <c r="J11" s="165"/>
      <c r="K11" s="166"/>
      <c r="L11" s="165"/>
      <c r="M11" s="165"/>
      <c r="N11" s="167"/>
      <c r="O11" s="168"/>
      <c r="P11" s="169"/>
      <c r="Q11" s="169"/>
      <c r="R11" s="169"/>
      <c r="S11" s="169"/>
      <c r="T11" s="170"/>
      <c r="U11" s="171"/>
      <c r="V11" s="171"/>
      <c r="W11" s="171"/>
      <c r="X11" s="171"/>
    </row>
    <row r="12" spans="1:24" s="186" customFormat="1" ht="15.75">
      <c r="A12" s="173"/>
      <c r="B12" s="174"/>
      <c r="C12" s="175"/>
      <c r="D12" s="176"/>
      <c r="E12" s="177"/>
      <c r="F12" s="178"/>
      <c r="G12" s="178"/>
      <c r="H12" s="178"/>
      <c r="I12" s="178"/>
      <c r="J12" s="179"/>
      <c r="K12" s="180"/>
      <c r="L12" s="179"/>
      <c r="M12" s="179"/>
      <c r="N12" s="181"/>
      <c r="O12" s="182"/>
      <c r="P12" s="183"/>
      <c r="Q12" s="183"/>
      <c r="R12" s="183"/>
      <c r="S12" s="183"/>
      <c r="T12" s="184"/>
      <c r="U12" s="185"/>
      <c r="V12" s="185"/>
      <c r="W12" s="185"/>
      <c r="X12" s="185"/>
    </row>
    <row r="13" spans="1:26" s="74" customFormat="1" ht="33.75" customHeight="1">
      <c r="A13" s="33"/>
      <c r="B13" s="174" t="s">
        <v>47</v>
      </c>
      <c r="C13" s="175" t="s">
        <v>52</v>
      </c>
      <c r="D13" s="176" t="s">
        <v>53</v>
      </c>
      <c r="E13" s="178" t="s">
        <v>85</v>
      </c>
      <c r="F13" s="178" t="s">
        <v>54</v>
      </c>
      <c r="G13" s="178" t="s">
        <v>341</v>
      </c>
      <c r="H13" s="178" t="s">
        <v>48</v>
      </c>
      <c r="I13" s="178" t="s">
        <v>1012</v>
      </c>
      <c r="J13" s="179">
        <v>40878</v>
      </c>
      <c r="K13" s="181">
        <v>21</v>
      </c>
      <c r="L13" s="179">
        <v>41640</v>
      </c>
      <c r="M13" s="179">
        <v>41944</v>
      </c>
      <c r="N13" s="187">
        <v>9</v>
      </c>
      <c r="O13" s="183">
        <v>1150000</v>
      </c>
      <c r="P13" s="183">
        <f>Q13+R13+S13</f>
        <v>45300000</v>
      </c>
      <c r="Q13" s="183">
        <v>0</v>
      </c>
      <c r="R13" s="183">
        <f>18300000+27000000</f>
        <v>45300000</v>
      </c>
      <c r="S13" s="183">
        <v>0</v>
      </c>
      <c r="T13" s="184" t="s">
        <v>1258</v>
      </c>
      <c r="U13" s="44"/>
      <c r="V13" s="44"/>
      <c r="W13" s="44"/>
      <c r="X13" s="44"/>
      <c r="Y13" s="33"/>
      <c r="Z13" s="33"/>
    </row>
    <row r="15" spans="1:26" s="74" customFormat="1" ht="24">
      <c r="A15" s="33"/>
      <c r="B15" s="55"/>
      <c r="C15" s="53" t="s">
        <v>1213</v>
      </c>
      <c r="D15" s="30" t="s">
        <v>1215</v>
      </c>
      <c r="E15" s="31" t="s">
        <v>314</v>
      </c>
      <c r="F15" s="31" t="s">
        <v>1210</v>
      </c>
      <c r="G15" s="31" t="s">
        <v>341</v>
      </c>
      <c r="H15" s="31" t="s">
        <v>1211</v>
      </c>
      <c r="I15" s="31" t="s">
        <v>1212</v>
      </c>
      <c r="J15" s="89">
        <v>40452</v>
      </c>
      <c r="K15" s="93" t="s">
        <v>944</v>
      </c>
      <c r="L15" s="394" t="s">
        <v>1214</v>
      </c>
      <c r="M15" s="395"/>
      <c r="N15" s="90"/>
      <c r="O15" s="91"/>
      <c r="P15" s="91"/>
      <c r="Q15" s="91"/>
      <c r="R15" s="91">
        <f>1700000+6825000+18550000+26400000</f>
        <v>53475000</v>
      </c>
      <c r="S15" s="91"/>
      <c r="T15" s="92" t="s">
        <v>1259</v>
      </c>
      <c r="U15" s="44"/>
      <c r="V15" s="44"/>
      <c r="W15" s="44"/>
      <c r="X15" s="44"/>
      <c r="Y15" s="33"/>
      <c r="Z15" s="33"/>
    </row>
    <row r="18" spans="2:25" s="33" customFormat="1" ht="28.5" customHeight="1" collapsed="1">
      <c r="B18" s="96" t="s">
        <v>480</v>
      </c>
      <c r="C18" s="53" t="s">
        <v>481</v>
      </c>
      <c r="D18" s="30" t="s">
        <v>649</v>
      </c>
      <c r="E18" s="43" t="s">
        <v>650</v>
      </c>
      <c r="F18" s="43" t="s">
        <v>651</v>
      </c>
      <c r="G18" s="31" t="s">
        <v>341</v>
      </c>
      <c r="H18" s="43" t="s">
        <v>45</v>
      </c>
      <c r="I18" s="43" t="s">
        <v>44</v>
      </c>
      <c r="J18" s="17">
        <v>40179</v>
      </c>
      <c r="K18" s="40">
        <v>30</v>
      </c>
      <c r="L18" s="396" t="s">
        <v>46</v>
      </c>
      <c r="M18" s="397"/>
      <c r="N18" s="10"/>
      <c r="O18" s="32">
        <v>1150000</v>
      </c>
      <c r="P18" s="32">
        <f>SUM(Q18:S18)</f>
        <v>21000000</v>
      </c>
      <c r="Q18" s="32">
        <f>N18*1050000</f>
        <v>0</v>
      </c>
      <c r="R18" s="32">
        <v>21000000</v>
      </c>
      <c r="S18" s="32">
        <v>0</v>
      </c>
      <c r="T18" s="39" t="s">
        <v>1260</v>
      </c>
      <c r="V18" s="44"/>
      <c r="W18" s="44"/>
      <c r="X18" s="44"/>
      <c r="Y18" s="44"/>
    </row>
    <row r="19" spans="2:20" ht="24">
      <c r="B19" s="51" t="s">
        <v>656</v>
      </c>
      <c r="C19" s="78" t="s">
        <v>1200</v>
      </c>
      <c r="D19" s="79"/>
      <c r="E19" s="80"/>
      <c r="F19" s="80"/>
      <c r="G19" s="81"/>
      <c r="H19" s="80"/>
      <c r="I19" s="80"/>
      <c r="J19" s="126"/>
      <c r="K19" s="82"/>
      <c r="L19" s="126"/>
      <c r="M19" s="126"/>
      <c r="N19" s="72"/>
      <c r="O19" s="83"/>
      <c r="P19" s="83"/>
      <c r="Q19" s="83"/>
      <c r="R19" s="83">
        <v>16000000</v>
      </c>
      <c r="S19" s="83"/>
      <c r="T19" s="84" t="s">
        <v>1301</v>
      </c>
    </row>
    <row r="20" spans="2:21" ht="18">
      <c r="B20" s="87" t="s">
        <v>1410</v>
      </c>
      <c r="C20" s="66" t="s">
        <v>500</v>
      </c>
      <c r="D20" s="67" t="s">
        <v>501</v>
      </c>
      <c r="E20" s="68" t="s">
        <v>1047</v>
      </c>
      <c r="F20" s="68" t="s">
        <v>502</v>
      </c>
      <c r="G20" s="69" t="s">
        <v>346</v>
      </c>
      <c r="H20" s="68" t="s">
        <v>206</v>
      </c>
      <c r="I20" s="68" t="s">
        <v>12</v>
      </c>
      <c r="J20" s="125">
        <v>41913</v>
      </c>
      <c r="K20" s="70">
        <v>15</v>
      </c>
      <c r="L20" s="125">
        <v>42370</v>
      </c>
      <c r="M20" s="125">
        <v>42491</v>
      </c>
      <c r="N20" s="70">
        <v>5</v>
      </c>
      <c r="O20" s="71"/>
      <c r="P20" s="71">
        <f>Q20+R20+S20</f>
        <v>27597000</v>
      </c>
      <c r="Q20" s="71">
        <f>SUM(Q21:Q22)</f>
        <v>0</v>
      </c>
      <c r="R20" s="71">
        <f>1000000+7625000+6000000+9000000+3972000</f>
        <v>27597000</v>
      </c>
      <c r="S20" s="110"/>
      <c r="T20" s="111" t="s">
        <v>1966</v>
      </c>
      <c r="U20" s="109">
        <v>42640</v>
      </c>
    </row>
    <row r="21" spans="2:21" ht="12">
      <c r="B21" s="87" t="s">
        <v>326</v>
      </c>
      <c r="C21" s="78" t="s">
        <v>1597</v>
      </c>
      <c r="D21" s="79"/>
      <c r="E21" s="398" t="s">
        <v>1599</v>
      </c>
      <c r="F21" s="399"/>
      <c r="G21" s="400"/>
      <c r="H21" s="80"/>
      <c r="I21" s="80"/>
      <c r="J21" s="144"/>
      <c r="K21" s="138"/>
      <c r="L21" s="144"/>
      <c r="M21" s="144"/>
      <c r="N21" s="132"/>
      <c r="O21" s="134"/>
      <c r="P21" s="130">
        <f>Q21+R21+S21</f>
        <v>22490000</v>
      </c>
      <c r="Q21" s="130">
        <f>SUM(Q22:Q23)</f>
        <v>0</v>
      </c>
      <c r="R21" s="130">
        <f>14240000+8250000</f>
        <v>22490000</v>
      </c>
      <c r="S21" s="130">
        <v>0</v>
      </c>
      <c r="T21" s="73" t="s">
        <v>1598</v>
      </c>
      <c r="U21" s="124">
        <v>42657</v>
      </c>
    </row>
  </sheetData>
  <sheetProtection/>
  <mergeCells count="20">
    <mergeCell ref="A4:A6"/>
    <mergeCell ref="L15:M15"/>
    <mergeCell ref="L18:M18"/>
    <mergeCell ref="E21:G21"/>
    <mergeCell ref="T2:T3"/>
    <mergeCell ref="I2:I3"/>
    <mergeCell ref="N2:N3"/>
    <mergeCell ref="O2:O3"/>
    <mergeCell ref="P2:S2"/>
    <mergeCell ref="J2:J3"/>
    <mergeCell ref="L7:M7"/>
    <mergeCell ref="K2:K3"/>
    <mergeCell ref="B2:B3"/>
    <mergeCell ref="C2:C3"/>
    <mergeCell ref="L2:M2"/>
    <mergeCell ref="D2:D3"/>
    <mergeCell ref="E2:E3"/>
    <mergeCell ref="F2:F3"/>
    <mergeCell ref="G2:G3"/>
    <mergeCell ref="H2:H3"/>
  </mergeCells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9">
      <selection activeCell="A35" sqref="A35"/>
    </sheetView>
  </sheetViews>
  <sheetFormatPr defaultColWidth="8.875" defaultRowHeight="15.75"/>
  <cols>
    <col min="1" max="1" width="18.125" style="0" bestFit="1" customWidth="1"/>
  </cols>
  <sheetData>
    <row r="1" spans="1:6" ht="15.75">
      <c r="A1" s="410" t="s">
        <v>1481</v>
      </c>
      <c r="B1" s="410"/>
      <c r="C1" s="410"/>
      <c r="D1" s="410"/>
      <c r="E1" s="410"/>
      <c r="F1" s="410"/>
    </row>
    <row r="5" spans="1:19" s="86" customFormat="1" ht="24">
      <c r="A5" s="112" t="s">
        <v>323</v>
      </c>
      <c r="B5" s="113"/>
      <c r="C5" s="114"/>
      <c r="D5" s="114"/>
      <c r="E5" s="115"/>
      <c r="F5" s="114"/>
      <c r="G5" s="114"/>
      <c r="H5" s="104"/>
      <c r="I5" s="116"/>
      <c r="J5" s="117"/>
      <c r="K5" s="117"/>
      <c r="L5" s="118"/>
      <c r="M5" s="119"/>
      <c r="N5" s="120">
        <f>N6</f>
        <v>54650000</v>
      </c>
      <c r="O5" s="120">
        <f>O6</f>
        <v>34500000</v>
      </c>
      <c r="P5" s="120">
        <f>P6</f>
        <v>20150000</v>
      </c>
      <c r="Q5" s="120">
        <f>Q6</f>
        <v>0</v>
      </c>
      <c r="R5" s="121"/>
      <c r="S5" s="122"/>
    </row>
    <row r="6" spans="1:19" ht="45">
      <c r="A6" s="50" t="s">
        <v>222</v>
      </c>
      <c r="B6" s="4" t="s">
        <v>223</v>
      </c>
      <c r="C6" s="42" t="s">
        <v>224</v>
      </c>
      <c r="D6" s="42" t="s">
        <v>225</v>
      </c>
      <c r="E6" s="3" t="s">
        <v>346</v>
      </c>
      <c r="F6" s="42" t="s">
        <v>226</v>
      </c>
      <c r="G6" s="42" t="s">
        <v>44</v>
      </c>
      <c r="H6" s="17">
        <v>41609</v>
      </c>
      <c r="I6" s="14"/>
      <c r="J6" s="17">
        <v>41609</v>
      </c>
      <c r="K6" s="17">
        <v>42309</v>
      </c>
      <c r="L6" s="18">
        <v>20</v>
      </c>
      <c r="M6" s="32">
        <v>1150000</v>
      </c>
      <c r="N6" s="32">
        <f>SUM(O6:Q6)</f>
        <v>54650000</v>
      </c>
      <c r="O6" s="32">
        <f>L6*M6*1.5</f>
        <v>34500000</v>
      </c>
      <c r="P6" s="32">
        <v>20150000</v>
      </c>
      <c r="Q6" s="32">
        <v>0</v>
      </c>
      <c r="R6" s="52" t="s">
        <v>912</v>
      </c>
      <c r="S6" s="65"/>
    </row>
    <row r="7" spans="1:19" ht="24">
      <c r="A7" s="51" t="s">
        <v>1084</v>
      </c>
      <c r="B7" s="5"/>
      <c r="C7" s="7"/>
      <c r="D7" s="7"/>
      <c r="E7" s="6"/>
      <c r="F7" s="7"/>
      <c r="G7" s="7"/>
      <c r="H7" s="19"/>
      <c r="I7" s="20"/>
      <c r="J7" s="21"/>
      <c r="K7" s="21"/>
      <c r="L7" s="22"/>
      <c r="M7" s="11"/>
      <c r="N7" s="13">
        <f>N8</f>
        <v>34500000</v>
      </c>
      <c r="O7" s="13">
        <f>O8</f>
        <v>34500000</v>
      </c>
      <c r="P7" s="13">
        <f>P8</f>
        <v>0</v>
      </c>
      <c r="Q7" s="13">
        <f>Q8</f>
        <v>0</v>
      </c>
      <c r="R7" s="13"/>
      <c r="S7" s="108"/>
    </row>
    <row r="8" spans="1:19" ht="33.75">
      <c r="A8" s="50" t="s">
        <v>1085</v>
      </c>
      <c r="B8" s="4" t="s">
        <v>1086</v>
      </c>
      <c r="C8" s="42" t="s">
        <v>485</v>
      </c>
      <c r="D8" s="42" t="s">
        <v>486</v>
      </c>
      <c r="E8" s="3" t="s">
        <v>341</v>
      </c>
      <c r="F8" s="42" t="s">
        <v>487</v>
      </c>
      <c r="G8" s="42" t="s">
        <v>1038</v>
      </c>
      <c r="H8" s="17">
        <v>41640</v>
      </c>
      <c r="I8" s="14">
        <v>0</v>
      </c>
      <c r="J8" s="45">
        <v>41640</v>
      </c>
      <c r="K8" s="17">
        <v>42339</v>
      </c>
      <c r="L8" s="18">
        <v>20</v>
      </c>
      <c r="M8" s="32">
        <v>1150000</v>
      </c>
      <c r="N8" s="32">
        <f>O8+P8+Q8</f>
        <v>34500000</v>
      </c>
      <c r="O8" s="32">
        <f>L8*M8*1.5</f>
        <v>34500000</v>
      </c>
      <c r="P8" s="32">
        <v>0</v>
      </c>
      <c r="Q8" s="32"/>
      <c r="R8" s="36"/>
      <c r="S8" s="65"/>
    </row>
    <row r="9" spans="1:19" ht="24">
      <c r="A9" s="51" t="s">
        <v>423</v>
      </c>
      <c r="B9" s="5"/>
      <c r="C9" s="7"/>
      <c r="D9" s="7"/>
      <c r="E9" s="6"/>
      <c r="F9" s="7"/>
      <c r="G9" s="7"/>
      <c r="H9" s="19"/>
      <c r="I9" s="20"/>
      <c r="J9" s="21"/>
      <c r="K9" s="21"/>
      <c r="L9" s="22"/>
      <c r="M9" s="11"/>
      <c r="N9" s="13">
        <f>SUM(N10:N15)</f>
        <v>198375000</v>
      </c>
      <c r="O9" s="13">
        <f>SUM(O10:O15)</f>
        <v>198375000</v>
      </c>
      <c r="P9" s="13">
        <f>SUM(P10:P15)</f>
        <v>0</v>
      </c>
      <c r="Q9" s="13">
        <f>SUM(Q10:Q15)</f>
        <v>0</v>
      </c>
      <c r="R9" s="54"/>
      <c r="S9" s="108"/>
    </row>
    <row r="10" spans="1:19" ht="33.75">
      <c r="A10" s="50" t="s">
        <v>424</v>
      </c>
      <c r="B10" s="4" t="s">
        <v>425</v>
      </c>
      <c r="C10" s="42" t="s">
        <v>491</v>
      </c>
      <c r="D10" s="42" t="s">
        <v>426</v>
      </c>
      <c r="E10" s="3" t="s">
        <v>341</v>
      </c>
      <c r="F10" s="42" t="s">
        <v>427</v>
      </c>
      <c r="G10" s="42" t="s">
        <v>428</v>
      </c>
      <c r="H10" s="17">
        <v>41487</v>
      </c>
      <c r="I10" s="14">
        <v>5</v>
      </c>
      <c r="J10" s="17">
        <v>41640</v>
      </c>
      <c r="K10" s="17">
        <v>42339</v>
      </c>
      <c r="L10" s="18">
        <v>25</v>
      </c>
      <c r="M10" s="8">
        <v>1150000</v>
      </c>
      <c r="N10" s="32">
        <f aca="true" t="shared" si="0" ref="N10:N15">O10+P10+Q10</f>
        <v>43125000</v>
      </c>
      <c r="O10" s="32">
        <f aca="true" t="shared" si="1" ref="O10:O15">L10*M10*1.5</f>
        <v>43125000</v>
      </c>
      <c r="P10" s="32"/>
      <c r="Q10" s="32"/>
      <c r="R10" s="36"/>
      <c r="S10" s="65"/>
    </row>
    <row r="11" spans="1:19" ht="33.75">
      <c r="A11" s="50" t="s">
        <v>489</v>
      </c>
      <c r="B11" s="4" t="s">
        <v>490</v>
      </c>
      <c r="C11" s="42" t="s">
        <v>492</v>
      </c>
      <c r="D11" s="42" t="s">
        <v>493</v>
      </c>
      <c r="E11" s="3" t="s">
        <v>346</v>
      </c>
      <c r="F11" s="42" t="s">
        <v>494</v>
      </c>
      <c r="G11" s="42" t="s">
        <v>495</v>
      </c>
      <c r="H11" s="17">
        <v>42005</v>
      </c>
      <c r="I11" s="14">
        <v>0</v>
      </c>
      <c r="J11" s="17">
        <v>42005</v>
      </c>
      <c r="K11" s="17">
        <v>42339</v>
      </c>
      <c r="L11" s="18">
        <v>10</v>
      </c>
      <c r="M11" s="8">
        <v>1150000</v>
      </c>
      <c r="N11" s="32">
        <f t="shared" si="0"/>
        <v>17250000</v>
      </c>
      <c r="O11" s="32">
        <f t="shared" si="1"/>
        <v>17250000</v>
      </c>
      <c r="P11" s="32"/>
      <c r="Q11" s="32"/>
      <c r="R11" s="36" t="s">
        <v>356</v>
      </c>
      <c r="S11" s="65"/>
    </row>
    <row r="12" spans="1:19" ht="33.75">
      <c r="A12" s="50" t="s">
        <v>821</v>
      </c>
      <c r="B12" s="4" t="s">
        <v>822</v>
      </c>
      <c r="C12" s="42" t="s">
        <v>314</v>
      </c>
      <c r="D12" s="42" t="s">
        <v>823</v>
      </c>
      <c r="E12" s="3" t="s">
        <v>346</v>
      </c>
      <c r="F12" s="42" t="s">
        <v>824</v>
      </c>
      <c r="G12" s="42" t="s">
        <v>825</v>
      </c>
      <c r="H12" s="17">
        <v>41640</v>
      </c>
      <c r="I12" s="18">
        <v>0</v>
      </c>
      <c r="J12" s="17">
        <v>41640</v>
      </c>
      <c r="K12" s="17">
        <v>42339</v>
      </c>
      <c r="L12" s="18">
        <v>20</v>
      </c>
      <c r="M12" s="32">
        <v>1150000</v>
      </c>
      <c r="N12" s="32">
        <f t="shared" si="0"/>
        <v>34500000</v>
      </c>
      <c r="O12" s="32">
        <f t="shared" si="1"/>
        <v>34500000</v>
      </c>
      <c r="P12" s="32"/>
      <c r="Q12" s="32"/>
      <c r="R12" s="35" t="s">
        <v>356</v>
      </c>
      <c r="S12" s="65"/>
    </row>
    <row r="13" spans="1:19" ht="33.75">
      <c r="A13" s="50" t="s">
        <v>826</v>
      </c>
      <c r="B13" s="4" t="s">
        <v>827</v>
      </c>
      <c r="C13" s="42" t="s">
        <v>314</v>
      </c>
      <c r="D13" s="42" t="s">
        <v>828</v>
      </c>
      <c r="E13" s="3" t="s">
        <v>346</v>
      </c>
      <c r="F13" s="42" t="s">
        <v>829</v>
      </c>
      <c r="G13" s="42" t="s">
        <v>643</v>
      </c>
      <c r="H13" s="17">
        <v>41640</v>
      </c>
      <c r="I13" s="18">
        <v>0</v>
      </c>
      <c r="J13" s="17">
        <v>41640</v>
      </c>
      <c r="K13" s="17">
        <v>42339</v>
      </c>
      <c r="L13" s="18">
        <v>20</v>
      </c>
      <c r="M13" s="32">
        <v>1150000</v>
      </c>
      <c r="N13" s="32">
        <f t="shared" si="0"/>
        <v>34500000</v>
      </c>
      <c r="O13" s="32">
        <f t="shared" si="1"/>
        <v>34500000</v>
      </c>
      <c r="P13" s="32"/>
      <c r="Q13" s="32"/>
      <c r="R13" s="35" t="s">
        <v>356</v>
      </c>
      <c r="S13" s="65"/>
    </row>
    <row r="14" spans="1:19" ht="33.75">
      <c r="A14" s="50" t="s">
        <v>833</v>
      </c>
      <c r="B14" s="4" t="s">
        <v>834</v>
      </c>
      <c r="C14" s="42" t="s">
        <v>314</v>
      </c>
      <c r="D14" s="42" t="s">
        <v>835</v>
      </c>
      <c r="E14" s="3" t="s">
        <v>346</v>
      </c>
      <c r="F14" s="42" t="s">
        <v>824</v>
      </c>
      <c r="G14" s="42" t="s">
        <v>825</v>
      </c>
      <c r="H14" s="17">
        <v>41640</v>
      </c>
      <c r="I14" s="18">
        <v>0</v>
      </c>
      <c r="J14" s="17">
        <v>41640</v>
      </c>
      <c r="K14" s="17">
        <v>42339</v>
      </c>
      <c r="L14" s="18">
        <v>20</v>
      </c>
      <c r="M14" s="32">
        <v>1150000</v>
      </c>
      <c r="N14" s="32">
        <f t="shared" si="0"/>
        <v>34500000</v>
      </c>
      <c r="O14" s="32">
        <f t="shared" si="1"/>
        <v>34500000</v>
      </c>
      <c r="P14" s="32"/>
      <c r="Q14" s="32"/>
      <c r="R14" s="35" t="s">
        <v>356</v>
      </c>
      <c r="S14" s="65"/>
    </row>
    <row r="15" spans="1:19" ht="33.75">
      <c r="A15" s="50" t="s">
        <v>830</v>
      </c>
      <c r="B15" s="4" t="s">
        <v>831</v>
      </c>
      <c r="C15" s="42" t="s">
        <v>314</v>
      </c>
      <c r="D15" s="42" t="s">
        <v>832</v>
      </c>
      <c r="E15" s="3" t="s">
        <v>346</v>
      </c>
      <c r="F15" s="42" t="s">
        <v>1132</v>
      </c>
      <c r="G15" s="42" t="s">
        <v>1123</v>
      </c>
      <c r="H15" s="17">
        <v>41640</v>
      </c>
      <c r="I15" s="18">
        <v>0</v>
      </c>
      <c r="J15" s="17">
        <v>41640</v>
      </c>
      <c r="K15" s="17">
        <v>42339</v>
      </c>
      <c r="L15" s="18">
        <v>20</v>
      </c>
      <c r="M15" s="32">
        <v>1150000</v>
      </c>
      <c r="N15" s="32">
        <f t="shared" si="0"/>
        <v>34500000</v>
      </c>
      <c r="O15" s="32">
        <f t="shared" si="1"/>
        <v>34500000</v>
      </c>
      <c r="P15" s="32"/>
      <c r="Q15" s="32"/>
      <c r="R15" s="35" t="s">
        <v>356</v>
      </c>
      <c r="S15" s="65"/>
    </row>
    <row r="16" spans="1:19" ht="24">
      <c r="A16" s="51" t="s">
        <v>656</v>
      </c>
      <c r="B16" s="5"/>
      <c r="C16" s="7"/>
      <c r="D16" s="7"/>
      <c r="E16" s="6"/>
      <c r="F16" s="7"/>
      <c r="G16" s="7"/>
      <c r="H16" s="19"/>
      <c r="I16" s="20"/>
      <c r="J16" s="21"/>
      <c r="K16" s="21"/>
      <c r="L16" s="22"/>
      <c r="M16" s="11"/>
      <c r="N16" s="13">
        <f>SUM(N18:N19)</f>
        <v>43200000</v>
      </c>
      <c r="O16" s="13">
        <f>SUM(O18:O19)</f>
        <v>24150000</v>
      </c>
      <c r="P16" s="13">
        <f>SUM(P18:P19)</f>
        <v>19050000</v>
      </c>
      <c r="Q16" s="13">
        <f>SUM(Q18:Q19)</f>
        <v>0</v>
      </c>
      <c r="R16" s="37"/>
      <c r="S16" s="108"/>
    </row>
    <row r="17" spans="1:19" ht="15.75">
      <c r="A17" s="78" t="s">
        <v>1200</v>
      </c>
      <c r="B17" s="79"/>
      <c r="C17" s="80"/>
      <c r="D17" s="80"/>
      <c r="E17" s="81"/>
      <c r="F17" s="80"/>
      <c r="G17" s="80"/>
      <c r="H17" s="126"/>
      <c r="I17" s="82"/>
      <c r="J17" s="126"/>
      <c r="K17" s="126"/>
      <c r="L17" s="72"/>
      <c r="M17" s="83"/>
      <c r="N17" s="83"/>
      <c r="O17" s="83"/>
      <c r="P17" s="83">
        <v>16000000</v>
      </c>
      <c r="Q17" s="83"/>
      <c r="R17" s="84" t="s">
        <v>1201</v>
      </c>
      <c r="S17" s="107"/>
    </row>
    <row r="18" spans="1:19" ht="33.75">
      <c r="A18" s="50" t="s">
        <v>1021</v>
      </c>
      <c r="B18" s="4" t="s">
        <v>1022</v>
      </c>
      <c r="C18" s="42" t="s">
        <v>314</v>
      </c>
      <c r="D18" s="42" t="s">
        <v>1023</v>
      </c>
      <c r="E18" s="3" t="s">
        <v>341</v>
      </c>
      <c r="F18" s="42" t="s">
        <v>1024</v>
      </c>
      <c r="G18" s="42" t="s">
        <v>643</v>
      </c>
      <c r="H18" s="17">
        <v>41214</v>
      </c>
      <c r="I18" s="18">
        <v>12</v>
      </c>
      <c r="J18" s="17">
        <v>41640</v>
      </c>
      <c r="K18" s="17">
        <v>41974</v>
      </c>
      <c r="L18" s="29">
        <v>8</v>
      </c>
      <c r="M18" s="9">
        <v>1150000</v>
      </c>
      <c r="N18" s="32">
        <f>O18+P18+Q18</f>
        <v>32850000</v>
      </c>
      <c r="O18" s="32">
        <f>L18*M18*1.5</f>
        <v>13800000</v>
      </c>
      <c r="P18" s="32">
        <v>19050000</v>
      </c>
      <c r="Q18" s="32"/>
      <c r="R18" s="35" t="s">
        <v>97</v>
      </c>
      <c r="S18" s="65"/>
    </row>
    <row r="19" spans="1:19" ht="33.75">
      <c r="A19" s="50" t="s">
        <v>1025</v>
      </c>
      <c r="B19" s="4" t="s">
        <v>1026</v>
      </c>
      <c r="C19" s="42" t="s">
        <v>314</v>
      </c>
      <c r="D19" s="42" t="s">
        <v>1027</v>
      </c>
      <c r="E19" s="3" t="s">
        <v>346</v>
      </c>
      <c r="F19" s="42" t="s">
        <v>1028</v>
      </c>
      <c r="G19" s="42" t="s">
        <v>1158</v>
      </c>
      <c r="H19" s="17">
        <v>41153</v>
      </c>
      <c r="I19" s="18">
        <v>14</v>
      </c>
      <c r="J19" s="17">
        <v>41640</v>
      </c>
      <c r="K19" s="17">
        <v>41821</v>
      </c>
      <c r="L19" s="29">
        <v>6</v>
      </c>
      <c r="M19" s="9">
        <v>1150000</v>
      </c>
      <c r="N19" s="32">
        <f>O19+P19+Q19</f>
        <v>10350000</v>
      </c>
      <c r="O19" s="32">
        <v>10350000</v>
      </c>
      <c r="P19" s="32">
        <v>0</v>
      </c>
      <c r="Q19" s="32"/>
      <c r="R19" s="35" t="s">
        <v>299</v>
      </c>
      <c r="S19" s="65"/>
    </row>
    <row r="20" spans="1:19" ht="36">
      <c r="A20" s="51" t="s">
        <v>679</v>
      </c>
      <c r="B20" s="5"/>
      <c r="C20" s="7"/>
      <c r="D20" s="7"/>
      <c r="E20" s="6"/>
      <c r="F20" s="7"/>
      <c r="G20" s="7"/>
      <c r="H20" s="19"/>
      <c r="I20" s="20"/>
      <c r="J20" s="21"/>
      <c r="K20" s="21"/>
      <c r="L20" s="22"/>
      <c r="M20" s="11"/>
      <c r="N20" s="13">
        <f>SUM(N21:N31)</f>
        <v>280915000</v>
      </c>
      <c r="O20" s="13">
        <f>SUM(O21:O31)</f>
        <v>213900000</v>
      </c>
      <c r="P20" s="13">
        <f>SUM(P21:P31)</f>
        <v>67015000</v>
      </c>
      <c r="Q20" s="13">
        <f>SUM(Q21:Q31)</f>
        <v>0</v>
      </c>
      <c r="R20" s="37"/>
      <c r="S20" s="108"/>
    </row>
    <row r="21" spans="1:19" ht="33.75">
      <c r="A21" s="66" t="s">
        <v>437</v>
      </c>
      <c r="B21" s="67" t="s">
        <v>438</v>
      </c>
      <c r="C21" s="68" t="s">
        <v>314</v>
      </c>
      <c r="D21" s="68" t="s">
        <v>439</v>
      </c>
      <c r="E21" s="69" t="s">
        <v>346</v>
      </c>
      <c r="F21" s="68" t="s">
        <v>440</v>
      </c>
      <c r="G21" s="68" t="s">
        <v>665</v>
      </c>
      <c r="H21" s="125">
        <v>41395</v>
      </c>
      <c r="I21" s="70">
        <v>20</v>
      </c>
      <c r="J21" s="411" t="s">
        <v>1214</v>
      </c>
      <c r="K21" s="412"/>
      <c r="L21" s="75">
        <v>0</v>
      </c>
      <c r="M21" s="71">
        <v>1150000</v>
      </c>
      <c r="N21" s="71">
        <f>O21+P21+Q21</f>
        <v>7000000</v>
      </c>
      <c r="O21" s="71">
        <v>0</v>
      </c>
      <c r="P21" s="71">
        <v>7000000</v>
      </c>
      <c r="Q21" s="71"/>
      <c r="R21" s="76" t="s">
        <v>1234</v>
      </c>
      <c r="S21" s="106"/>
    </row>
    <row r="22" spans="1:19" ht="33.75">
      <c r="A22" s="50" t="s">
        <v>217</v>
      </c>
      <c r="B22" s="4"/>
      <c r="C22" s="42" t="s">
        <v>1034</v>
      </c>
      <c r="D22" s="42" t="s">
        <v>680</v>
      </c>
      <c r="E22" s="3" t="s">
        <v>341</v>
      </c>
      <c r="F22" s="42" t="s">
        <v>715</v>
      </c>
      <c r="G22" s="42" t="s">
        <v>654</v>
      </c>
      <c r="H22" s="17">
        <v>40848</v>
      </c>
      <c r="I22" s="14">
        <v>22</v>
      </c>
      <c r="J22" s="17">
        <v>41640</v>
      </c>
      <c r="K22" s="17">
        <v>41852</v>
      </c>
      <c r="L22" s="10">
        <v>8</v>
      </c>
      <c r="M22" s="32">
        <v>1150000</v>
      </c>
      <c r="N22" s="32">
        <f>O22+P22</f>
        <v>29592000</v>
      </c>
      <c r="O22" s="32">
        <f aca="true" t="shared" si="2" ref="O22:O31">L22*M22*1.5</f>
        <v>13800000</v>
      </c>
      <c r="P22" s="32">
        <f>2352000+13440000</f>
        <v>15792000</v>
      </c>
      <c r="Q22" s="32"/>
      <c r="R22" s="38" t="s">
        <v>138</v>
      </c>
      <c r="S22" s="65"/>
    </row>
    <row r="23" spans="1:19" ht="45">
      <c r="A23" s="50" t="s">
        <v>351</v>
      </c>
      <c r="B23" s="4" t="s">
        <v>352</v>
      </c>
      <c r="C23" s="47" t="s">
        <v>314</v>
      </c>
      <c r="D23" s="42" t="s">
        <v>353</v>
      </c>
      <c r="E23" s="3" t="s">
        <v>346</v>
      </c>
      <c r="F23" s="42" t="s">
        <v>354</v>
      </c>
      <c r="G23" s="42" t="s">
        <v>355</v>
      </c>
      <c r="H23" s="17">
        <v>41244</v>
      </c>
      <c r="I23" s="14">
        <v>11</v>
      </c>
      <c r="J23" s="17">
        <v>41640</v>
      </c>
      <c r="K23" s="17">
        <v>41974</v>
      </c>
      <c r="L23" s="10">
        <v>9</v>
      </c>
      <c r="M23" s="32">
        <v>1150000</v>
      </c>
      <c r="N23" s="32">
        <f>O23+P23+Q23</f>
        <v>15525000</v>
      </c>
      <c r="O23" s="32">
        <f t="shared" si="2"/>
        <v>15525000</v>
      </c>
      <c r="P23" s="32">
        <v>0</v>
      </c>
      <c r="Q23" s="32"/>
      <c r="R23" s="39"/>
      <c r="S23" s="65"/>
    </row>
    <row r="24" spans="1:19" ht="33.75">
      <c r="A24" s="50" t="s">
        <v>437</v>
      </c>
      <c r="B24" s="4" t="s">
        <v>438</v>
      </c>
      <c r="C24" s="42" t="s">
        <v>314</v>
      </c>
      <c r="D24" s="42" t="s">
        <v>439</v>
      </c>
      <c r="E24" s="3" t="s">
        <v>346</v>
      </c>
      <c r="F24" s="42" t="s">
        <v>440</v>
      </c>
      <c r="G24" s="42" t="s">
        <v>665</v>
      </c>
      <c r="H24" s="17">
        <v>41395</v>
      </c>
      <c r="I24" s="18">
        <v>7</v>
      </c>
      <c r="J24" s="17">
        <v>41640</v>
      </c>
      <c r="K24" s="17">
        <v>42095</v>
      </c>
      <c r="L24" s="29">
        <v>13</v>
      </c>
      <c r="M24" s="32">
        <v>1150000</v>
      </c>
      <c r="N24" s="32">
        <f>O24+P24+Q24</f>
        <v>43000000</v>
      </c>
      <c r="O24" s="32">
        <f t="shared" si="2"/>
        <v>22425000</v>
      </c>
      <c r="P24" s="32">
        <f>7275000+7000000+3150000+3150000</f>
        <v>20575000</v>
      </c>
      <c r="Q24" s="8"/>
      <c r="R24" s="34" t="s">
        <v>776</v>
      </c>
      <c r="S24" s="65"/>
    </row>
    <row r="25" spans="1:19" ht="33.75">
      <c r="A25" s="50" t="s">
        <v>441</v>
      </c>
      <c r="B25" s="4" t="s">
        <v>442</v>
      </c>
      <c r="C25" s="42" t="s">
        <v>314</v>
      </c>
      <c r="D25" s="42" t="s">
        <v>443</v>
      </c>
      <c r="E25" s="3" t="s">
        <v>346</v>
      </c>
      <c r="F25" s="42" t="s">
        <v>633</v>
      </c>
      <c r="G25" s="42" t="s">
        <v>254</v>
      </c>
      <c r="H25" s="17">
        <v>41395</v>
      </c>
      <c r="I25" s="18">
        <v>7</v>
      </c>
      <c r="J25" s="17">
        <v>41640</v>
      </c>
      <c r="K25" s="17">
        <v>42156</v>
      </c>
      <c r="L25" s="29">
        <v>13</v>
      </c>
      <c r="M25" s="32">
        <v>1150000</v>
      </c>
      <c r="N25" s="32">
        <f>O25+P25</f>
        <v>31073000</v>
      </c>
      <c r="O25" s="32">
        <f t="shared" si="2"/>
        <v>22425000</v>
      </c>
      <c r="P25" s="32">
        <v>8648000</v>
      </c>
      <c r="Q25" s="32"/>
      <c r="R25" s="32" t="s">
        <v>234</v>
      </c>
      <c r="S25" s="65"/>
    </row>
    <row r="26" spans="1:19" ht="45">
      <c r="A26" s="50" t="s">
        <v>1014</v>
      </c>
      <c r="B26" s="4" t="s">
        <v>1015</v>
      </c>
      <c r="C26" s="42" t="s">
        <v>314</v>
      </c>
      <c r="D26" s="42" t="s">
        <v>1016</v>
      </c>
      <c r="E26" s="3" t="s">
        <v>346</v>
      </c>
      <c r="F26" s="42" t="s">
        <v>354</v>
      </c>
      <c r="G26" s="42" t="s">
        <v>355</v>
      </c>
      <c r="H26" s="17">
        <v>41214</v>
      </c>
      <c r="I26" s="18">
        <v>12</v>
      </c>
      <c r="J26" s="17">
        <v>41640</v>
      </c>
      <c r="K26" s="17">
        <v>41974</v>
      </c>
      <c r="L26" s="29">
        <v>8</v>
      </c>
      <c r="M26" s="32">
        <v>1150000</v>
      </c>
      <c r="N26" s="32">
        <f aca="true" t="shared" si="3" ref="N26:N31">O26+P26+Q26</f>
        <v>13800000</v>
      </c>
      <c r="O26" s="32">
        <f t="shared" si="2"/>
        <v>13800000</v>
      </c>
      <c r="P26" s="32"/>
      <c r="Q26" s="32">
        <v>0</v>
      </c>
      <c r="R26" s="32" t="s">
        <v>297</v>
      </c>
      <c r="S26" s="65"/>
    </row>
    <row r="27" spans="1:19" ht="33.75">
      <c r="A27" s="50" t="s">
        <v>1111</v>
      </c>
      <c r="B27" s="4" t="s">
        <v>1109</v>
      </c>
      <c r="C27" s="42" t="s">
        <v>314</v>
      </c>
      <c r="D27" s="42" t="s">
        <v>1110</v>
      </c>
      <c r="E27" s="3" t="s">
        <v>346</v>
      </c>
      <c r="F27" s="42" t="s">
        <v>633</v>
      </c>
      <c r="G27" s="42" t="s">
        <v>847</v>
      </c>
      <c r="H27" s="17">
        <v>41609</v>
      </c>
      <c r="I27" s="18">
        <v>1</v>
      </c>
      <c r="J27" s="17">
        <v>41640</v>
      </c>
      <c r="K27" s="17">
        <v>42156</v>
      </c>
      <c r="L27" s="29">
        <v>16</v>
      </c>
      <c r="M27" s="32">
        <v>1150000</v>
      </c>
      <c r="N27" s="32">
        <f t="shared" si="3"/>
        <v>42600000</v>
      </c>
      <c r="O27" s="32">
        <f t="shared" si="2"/>
        <v>27600000</v>
      </c>
      <c r="P27" s="32">
        <v>15000000</v>
      </c>
      <c r="Q27" s="32"/>
      <c r="R27" s="34" t="s">
        <v>139</v>
      </c>
      <c r="S27" s="65"/>
    </row>
    <row r="28" spans="1:19" ht="33.75">
      <c r="A28" s="50" t="s">
        <v>817</v>
      </c>
      <c r="B28" s="4" t="s">
        <v>818</v>
      </c>
      <c r="C28" s="42" t="s">
        <v>314</v>
      </c>
      <c r="D28" s="42" t="s">
        <v>819</v>
      </c>
      <c r="E28" s="3" t="s">
        <v>346</v>
      </c>
      <c r="F28" s="42" t="s">
        <v>820</v>
      </c>
      <c r="G28" s="42" t="s">
        <v>251</v>
      </c>
      <c r="H28" s="17">
        <v>41913</v>
      </c>
      <c r="I28" s="18"/>
      <c r="J28" s="17">
        <v>41913</v>
      </c>
      <c r="K28" s="17">
        <v>42339</v>
      </c>
      <c r="L28" s="18">
        <f>DATEDIF(J28,K28,"m")+1</f>
        <v>15</v>
      </c>
      <c r="M28" s="32">
        <v>1150000</v>
      </c>
      <c r="N28" s="32">
        <f t="shared" si="3"/>
        <v>25875000</v>
      </c>
      <c r="O28" s="32">
        <f t="shared" si="2"/>
        <v>25875000</v>
      </c>
      <c r="P28" s="32"/>
      <c r="Q28" s="32"/>
      <c r="R28" s="35" t="s">
        <v>356</v>
      </c>
      <c r="S28" s="65"/>
    </row>
    <row r="29" spans="1:19" ht="33.75">
      <c r="A29" s="50" t="s">
        <v>503</v>
      </c>
      <c r="B29" s="4" t="s">
        <v>504</v>
      </c>
      <c r="C29" s="42" t="s">
        <v>314</v>
      </c>
      <c r="D29" s="42" t="s">
        <v>505</v>
      </c>
      <c r="E29" s="3" t="s">
        <v>346</v>
      </c>
      <c r="F29" s="42" t="s">
        <v>1137</v>
      </c>
      <c r="G29" s="42" t="s">
        <v>506</v>
      </c>
      <c r="H29" s="17">
        <v>41944</v>
      </c>
      <c r="I29" s="18"/>
      <c r="J29" s="17">
        <v>41944</v>
      </c>
      <c r="K29" s="17">
        <v>42339</v>
      </c>
      <c r="L29" s="18">
        <f>DATEDIF(J29,K29,"m")+1</f>
        <v>14</v>
      </c>
      <c r="M29" s="32">
        <v>1150000</v>
      </c>
      <c r="N29" s="32">
        <f t="shared" si="3"/>
        <v>24150000</v>
      </c>
      <c r="O29" s="32">
        <f t="shared" si="2"/>
        <v>24150000</v>
      </c>
      <c r="P29" s="32"/>
      <c r="Q29" s="32"/>
      <c r="R29" s="35" t="s">
        <v>356</v>
      </c>
      <c r="S29" s="65"/>
    </row>
    <row r="30" spans="1:19" ht="33.75">
      <c r="A30" s="50" t="s">
        <v>516</v>
      </c>
      <c r="B30" s="4" t="s">
        <v>517</v>
      </c>
      <c r="C30" s="42" t="s">
        <v>314</v>
      </c>
      <c r="D30" s="42" t="s">
        <v>518</v>
      </c>
      <c r="E30" s="3" t="s">
        <v>346</v>
      </c>
      <c r="F30" s="42" t="s">
        <v>519</v>
      </c>
      <c r="G30" s="42" t="s">
        <v>520</v>
      </c>
      <c r="H30" s="17">
        <v>41944</v>
      </c>
      <c r="I30" s="14">
        <v>0</v>
      </c>
      <c r="J30" s="17">
        <v>41944</v>
      </c>
      <c r="K30" s="17">
        <v>42339</v>
      </c>
      <c r="L30" s="18">
        <f>DATEDIF(J30,K30,"m")+1</f>
        <v>14</v>
      </c>
      <c r="M30" s="8">
        <v>1150000</v>
      </c>
      <c r="N30" s="32">
        <f t="shared" si="3"/>
        <v>24150000</v>
      </c>
      <c r="O30" s="32">
        <f t="shared" si="2"/>
        <v>24150000</v>
      </c>
      <c r="P30" s="32"/>
      <c r="Q30" s="32"/>
      <c r="R30" s="36" t="s">
        <v>356</v>
      </c>
      <c r="S30" s="65"/>
    </row>
    <row r="31" spans="1:19" ht="33.75">
      <c r="A31" s="50" t="s">
        <v>521</v>
      </c>
      <c r="B31" s="4" t="s">
        <v>522</v>
      </c>
      <c r="C31" s="42" t="s">
        <v>314</v>
      </c>
      <c r="D31" s="42" t="s">
        <v>523</v>
      </c>
      <c r="E31" s="3" t="s">
        <v>346</v>
      </c>
      <c r="F31" s="42" t="s">
        <v>354</v>
      </c>
      <c r="G31" s="42" t="s">
        <v>524</v>
      </c>
      <c r="H31" s="17">
        <v>41944</v>
      </c>
      <c r="I31" s="14">
        <v>0</v>
      </c>
      <c r="J31" s="17">
        <v>41944</v>
      </c>
      <c r="K31" s="17">
        <v>42339</v>
      </c>
      <c r="L31" s="18">
        <f>DATEDIF(J31,K31,"m")+1</f>
        <v>14</v>
      </c>
      <c r="M31" s="8">
        <v>1150000</v>
      </c>
      <c r="N31" s="32">
        <f t="shared" si="3"/>
        <v>24150000</v>
      </c>
      <c r="O31" s="32">
        <f t="shared" si="2"/>
        <v>24150000</v>
      </c>
      <c r="P31" s="32"/>
      <c r="Q31" s="32"/>
      <c r="R31" s="36" t="s">
        <v>356</v>
      </c>
      <c r="S31" s="65"/>
    </row>
    <row r="32" spans="1:19" ht="24">
      <c r="A32" s="51" t="s">
        <v>507</v>
      </c>
      <c r="B32" s="5"/>
      <c r="C32" s="7"/>
      <c r="D32" s="7"/>
      <c r="E32" s="6"/>
      <c r="F32" s="7"/>
      <c r="G32" s="7"/>
      <c r="H32" s="19"/>
      <c r="I32" s="20"/>
      <c r="J32" s="21"/>
      <c r="K32" s="21"/>
      <c r="L32" s="22"/>
      <c r="M32" s="11"/>
      <c r="N32" s="13">
        <f>N33</f>
        <v>24150000</v>
      </c>
      <c r="O32" s="13">
        <f>O33</f>
        <v>24150000</v>
      </c>
      <c r="P32" s="13">
        <f>P33</f>
        <v>0</v>
      </c>
      <c r="Q32" s="13">
        <f>Q33</f>
        <v>0</v>
      </c>
      <c r="R32" s="54"/>
      <c r="S32" s="108"/>
    </row>
    <row r="33" spans="1:19" ht="45">
      <c r="A33" s="50" t="s">
        <v>508</v>
      </c>
      <c r="B33" s="4" t="s">
        <v>509</v>
      </c>
      <c r="C33" s="42" t="s">
        <v>510</v>
      </c>
      <c r="D33" s="42" t="s">
        <v>511</v>
      </c>
      <c r="E33" s="3" t="s">
        <v>341</v>
      </c>
      <c r="F33" s="42" t="s">
        <v>377</v>
      </c>
      <c r="G33" s="42" t="s">
        <v>998</v>
      </c>
      <c r="H33" s="17">
        <v>41944</v>
      </c>
      <c r="I33" s="14">
        <v>0</v>
      </c>
      <c r="J33" s="17">
        <v>41944</v>
      </c>
      <c r="K33" s="17">
        <v>42339</v>
      </c>
      <c r="L33" s="18">
        <f>DATEDIF(J33,K33,"m")+1</f>
        <v>14</v>
      </c>
      <c r="M33" s="8">
        <v>1150000</v>
      </c>
      <c r="N33" s="32">
        <f>O33+P33+Q33</f>
        <v>24150000</v>
      </c>
      <c r="O33" s="32">
        <f>L33*M33*1.5</f>
        <v>24150000</v>
      </c>
      <c r="P33" s="32"/>
      <c r="Q33" s="32"/>
      <c r="R33" s="36" t="s">
        <v>356</v>
      </c>
      <c r="S33" s="65"/>
    </row>
    <row r="34" spans="1:19" ht="15.75">
      <c r="A34" s="51" t="s">
        <v>325</v>
      </c>
      <c r="B34" s="5"/>
      <c r="C34" s="7"/>
      <c r="D34" s="7"/>
      <c r="E34" s="6"/>
      <c r="F34" s="7"/>
      <c r="G34" s="7"/>
      <c r="H34" s="19"/>
      <c r="I34" s="20"/>
      <c r="J34" s="21"/>
      <c r="K34" s="21"/>
      <c r="L34" s="22"/>
      <c r="M34" s="11"/>
      <c r="N34" s="13">
        <f>SUM(N35:N35)</f>
        <v>52107000</v>
      </c>
      <c r="O34" s="13">
        <f>SUM(O35:O35)</f>
        <v>29325000</v>
      </c>
      <c r="P34" s="13">
        <f>SUM(P35:P35)</f>
        <v>22782000</v>
      </c>
      <c r="Q34" s="13">
        <f>SUM(Q35:Q35)</f>
        <v>0</v>
      </c>
      <c r="R34" s="37"/>
      <c r="S34" s="108"/>
    </row>
    <row r="35" spans="1:19" ht="33.75">
      <c r="A35" s="50" t="s">
        <v>279</v>
      </c>
      <c r="B35" s="4" t="s">
        <v>280</v>
      </c>
      <c r="C35" s="48" t="s">
        <v>281</v>
      </c>
      <c r="D35" s="42" t="s">
        <v>282</v>
      </c>
      <c r="E35" s="3" t="s">
        <v>341</v>
      </c>
      <c r="F35" s="42" t="s">
        <v>265</v>
      </c>
      <c r="G35" s="42" t="s">
        <v>283</v>
      </c>
      <c r="H35" s="17">
        <v>41183</v>
      </c>
      <c r="I35" s="14">
        <v>13</v>
      </c>
      <c r="J35" s="17">
        <v>41640</v>
      </c>
      <c r="K35" s="17">
        <v>42156</v>
      </c>
      <c r="L35" s="29">
        <v>17</v>
      </c>
      <c r="M35" s="41">
        <v>1150000</v>
      </c>
      <c r="N35" s="32">
        <f>O35+P35</f>
        <v>52107000</v>
      </c>
      <c r="O35" s="32">
        <f>L35*M35*1.5</f>
        <v>29325000</v>
      </c>
      <c r="P35" s="32">
        <f>11370000+8000000+3412000</f>
        <v>22782000</v>
      </c>
      <c r="Q35" s="32">
        <v>0</v>
      </c>
      <c r="R35" s="39" t="s">
        <v>140</v>
      </c>
      <c r="S35" s="65"/>
    </row>
    <row r="36" spans="1:19" ht="15.75">
      <c r="A36" s="51" t="s">
        <v>257</v>
      </c>
      <c r="B36" s="5"/>
      <c r="C36" s="7"/>
      <c r="D36" s="7"/>
      <c r="E36" s="6"/>
      <c r="F36" s="7"/>
      <c r="G36" s="7"/>
      <c r="H36" s="19"/>
      <c r="I36" s="20"/>
      <c r="J36" s="21"/>
      <c r="K36" s="21"/>
      <c r="L36" s="22"/>
      <c r="M36" s="11"/>
      <c r="N36" s="13">
        <f>N37</f>
        <v>72950000</v>
      </c>
      <c r="O36" s="13">
        <f>O37</f>
        <v>29325000</v>
      </c>
      <c r="P36" s="13">
        <f>P37</f>
        <v>43625000</v>
      </c>
      <c r="Q36" s="13">
        <f>Q37</f>
        <v>0</v>
      </c>
      <c r="R36" s="13" t="str">
        <f>R37</f>
        <v>HP NCS 2012+2013</v>
      </c>
      <c r="S36" s="108"/>
    </row>
    <row r="37" spans="1:19" ht="33.75">
      <c r="A37" s="50" t="s">
        <v>258</v>
      </c>
      <c r="B37" s="4" t="s">
        <v>259</v>
      </c>
      <c r="C37" s="42" t="s">
        <v>260</v>
      </c>
      <c r="D37" s="42" t="s">
        <v>261</v>
      </c>
      <c r="E37" s="42" t="s">
        <v>341</v>
      </c>
      <c r="F37" s="42" t="s">
        <v>92</v>
      </c>
      <c r="G37" s="42" t="s">
        <v>1156</v>
      </c>
      <c r="H37" s="17">
        <v>41183</v>
      </c>
      <c r="I37" s="14">
        <v>13</v>
      </c>
      <c r="J37" s="45">
        <v>41640</v>
      </c>
      <c r="K37" s="45">
        <v>42186</v>
      </c>
      <c r="L37" s="18">
        <v>17</v>
      </c>
      <c r="M37" s="41">
        <v>1150000</v>
      </c>
      <c r="N37" s="32">
        <f>O37+P37+Q37</f>
        <v>72950000</v>
      </c>
      <c r="O37" s="32">
        <f>L37*M37*1.5</f>
        <v>29325000</v>
      </c>
      <c r="P37" s="32">
        <v>43625000</v>
      </c>
      <c r="Q37" s="32"/>
      <c r="R37" s="36" t="s">
        <v>13</v>
      </c>
      <c r="S37" s="65"/>
    </row>
  </sheetData>
  <sheetProtection/>
  <mergeCells count="2">
    <mergeCell ref="A1:F1"/>
    <mergeCell ref="J21:K21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H20" sqref="A20:IV20"/>
    </sheetView>
  </sheetViews>
  <sheetFormatPr defaultColWidth="9.00390625" defaultRowHeight="27" customHeight="1"/>
  <cols>
    <col min="2" max="4" width="9.00390625" style="102" customWidth="1"/>
    <col min="5" max="5" width="13.50390625" style="102" bestFit="1" customWidth="1"/>
    <col min="6" max="8" width="12.375" style="102" bestFit="1" customWidth="1"/>
  </cols>
  <sheetData>
    <row r="1" spans="2:8" ht="27" customHeight="1">
      <c r="B1" s="413" t="s">
        <v>2183</v>
      </c>
      <c r="C1" s="413"/>
      <c r="D1" s="413"/>
      <c r="E1" s="413"/>
      <c r="F1" s="413"/>
      <c r="G1" s="413"/>
      <c r="H1" s="413"/>
    </row>
    <row r="2" spans="1:8" s="57" customFormat="1" ht="27" customHeight="1" collapsed="1">
      <c r="A2" s="57">
        <v>1</v>
      </c>
      <c r="B2" s="414" t="s">
        <v>699</v>
      </c>
      <c r="C2" s="415"/>
      <c r="D2" s="416"/>
      <c r="E2" s="314">
        <v>115500000</v>
      </c>
      <c r="F2" s="314">
        <v>0</v>
      </c>
      <c r="G2" s="314">
        <v>23500000</v>
      </c>
      <c r="H2" s="314">
        <v>92000000</v>
      </c>
    </row>
    <row r="3" spans="1:8" s="57" customFormat="1" ht="27" customHeight="1" collapsed="1">
      <c r="A3" s="57">
        <v>2</v>
      </c>
      <c r="B3" s="414" t="s">
        <v>47</v>
      </c>
      <c r="C3" s="415"/>
      <c r="D3" s="416"/>
      <c r="E3" s="314">
        <v>136387500</v>
      </c>
      <c r="F3" s="314">
        <v>13800000</v>
      </c>
      <c r="G3" s="314">
        <v>25787500</v>
      </c>
      <c r="H3" s="314">
        <v>96800000</v>
      </c>
    </row>
    <row r="4" spans="1:8" s="57" customFormat="1" ht="27" customHeight="1" collapsed="1">
      <c r="A4" s="57">
        <v>3</v>
      </c>
      <c r="B4" s="414" t="s">
        <v>702</v>
      </c>
      <c r="C4" s="415"/>
      <c r="D4" s="416"/>
      <c r="E4" s="314">
        <v>33115000</v>
      </c>
      <c r="F4" s="314">
        <v>8715000</v>
      </c>
      <c r="G4" s="314">
        <v>24400000</v>
      </c>
      <c r="H4" s="314">
        <v>0</v>
      </c>
    </row>
    <row r="5" spans="1:8" s="57" customFormat="1" ht="27" customHeight="1" collapsed="1">
      <c r="A5" s="57">
        <v>4</v>
      </c>
      <c r="B5" s="414" t="s">
        <v>639</v>
      </c>
      <c r="C5" s="415"/>
      <c r="D5" s="416"/>
      <c r="E5" s="314">
        <v>147775000</v>
      </c>
      <c r="F5" s="314">
        <v>-36225000</v>
      </c>
      <c r="G5" s="314">
        <v>0</v>
      </c>
      <c r="H5" s="314">
        <v>184000000</v>
      </c>
    </row>
    <row r="6" spans="1:8" s="57" customFormat="1" ht="27" customHeight="1" collapsed="1">
      <c r="A6" s="57">
        <v>5</v>
      </c>
      <c r="B6" s="414" t="s">
        <v>60</v>
      </c>
      <c r="C6" s="415"/>
      <c r="D6" s="416"/>
      <c r="E6" s="314">
        <v>5500000</v>
      </c>
      <c r="F6" s="314">
        <v>0</v>
      </c>
      <c r="G6" s="314">
        <v>5500000</v>
      </c>
      <c r="H6" s="314">
        <v>0</v>
      </c>
    </row>
    <row r="7" spans="1:8" s="57" customFormat="1" ht="27" customHeight="1" collapsed="1">
      <c r="A7" s="57">
        <v>6</v>
      </c>
      <c r="B7" s="414" t="s">
        <v>1980</v>
      </c>
      <c r="C7" s="415"/>
      <c r="D7" s="416"/>
      <c r="E7" s="314">
        <v>21420000</v>
      </c>
      <c r="F7" s="314">
        <v>21420000</v>
      </c>
      <c r="G7" s="314">
        <v>0</v>
      </c>
      <c r="H7" s="314">
        <v>0</v>
      </c>
    </row>
    <row r="8" spans="1:8" s="57" customFormat="1" ht="27" customHeight="1" collapsed="1">
      <c r="A8" s="57">
        <v>7</v>
      </c>
      <c r="B8" s="414" t="s">
        <v>496</v>
      </c>
      <c r="C8" s="415"/>
      <c r="D8" s="416"/>
      <c r="E8" s="314">
        <v>26215000</v>
      </c>
      <c r="F8" s="314">
        <v>8715000</v>
      </c>
      <c r="G8" s="314">
        <v>17500000</v>
      </c>
      <c r="H8" s="314">
        <v>0</v>
      </c>
    </row>
    <row r="9" spans="1:8" s="57" customFormat="1" ht="27" customHeight="1" collapsed="1">
      <c r="A9" s="57">
        <v>8</v>
      </c>
      <c r="B9" s="414" t="s">
        <v>476</v>
      </c>
      <c r="C9" s="415"/>
      <c r="D9" s="416"/>
      <c r="E9" s="314">
        <v>282195000</v>
      </c>
      <c r="F9" s="314">
        <v>87795000</v>
      </c>
      <c r="G9" s="314">
        <v>54600000</v>
      </c>
      <c r="H9" s="314">
        <v>139800000</v>
      </c>
    </row>
    <row r="10" spans="1:8" s="57" customFormat="1" ht="27" customHeight="1" collapsed="1">
      <c r="A10" s="57">
        <v>9</v>
      </c>
      <c r="B10" s="414" t="s">
        <v>480</v>
      </c>
      <c r="C10" s="415"/>
      <c r="D10" s="416"/>
      <c r="E10" s="314">
        <v>107065000</v>
      </c>
      <c r="F10" s="314">
        <v>15615000</v>
      </c>
      <c r="G10" s="314">
        <v>56950000</v>
      </c>
      <c r="H10" s="314">
        <v>34500000</v>
      </c>
    </row>
    <row r="11" spans="1:8" s="57" customFormat="1" ht="27" customHeight="1">
      <c r="A11" s="57">
        <v>10</v>
      </c>
      <c r="B11" s="414" t="s">
        <v>1154</v>
      </c>
      <c r="C11" s="415"/>
      <c r="D11" s="416"/>
      <c r="E11" s="314">
        <v>194542000</v>
      </c>
      <c r="F11" s="314">
        <v>43575000</v>
      </c>
      <c r="G11" s="314">
        <v>81967000</v>
      </c>
      <c r="H11" s="314">
        <v>69000000</v>
      </c>
    </row>
    <row r="12" spans="1:8" s="57" customFormat="1" ht="27" customHeight="1" collapsed="1">
      <c r="A12" s="57">
        <v>11</v>
      </c>
      <c r="B12" s="414" t="s">
        <v>482</v>
      </c>
      <c r="C12" s="415"/>
      <c r="D12" s="416"/>
      <c r="E12" s="314">
        <v>298987500</v>
      </c>
      <c r="F12" s="314">
        <v>72450000</v>
      </c>
      <c r="G12" s="314">
        <v>88537500</v>
      </c>
      <c r="H12" s="314">
        <v>138000000</v>
      </c>
    </row>
    <row r="13" spans="1:8" s="57" customFormat="1" ht="27" customHeight="1">
      <c r="A13" s="57">
        <v>12</v>
      </c>
      <c r="B13" s="414" t="s">
        <v>483</v>
      </c>
      <c r="C13" s="415"/>
      <c r="D13" s="416"/>
      <c r="E13" s="314">
        <v>69000000</v>
      </c>
      <c r="F13" s="314">
        <v>0</v>
      </c>
      <c r="G13" s="314">
        <v>0</v>
      </c>
      <c r="H13" s="314">
        <v>69000000</v>
      </c>
    </row>
    <row r="14" spans="1:8" s="57" customFormat="1" ht="27" customHeight="1">
      <c r="A14" s="57">
        <v>13</v>
      </c>
      <c r="B14" s="414" t="s">
        <v>345</v>
      </c>
      <c r="C14" s="415"/>
      <c r="D14" s="416"/>
      <c r="E14" s="314">
        <v>6009351000</v>
      </c>
      <c r="F14" s="314">
        <v>3052740000</v>
      </c>
      <c r="G14" s="314">
        <v>1624011000</v>
      </c>
      <c r="H14" s="314">
        <v>1332600000</v>
      </c>
    </row>
    <row r="15" spans="1:8" s="57" customFormat="1" ht="27" customHeight="1" collapsed="1">
      <c r="A15" s="57">
        <v>14</v>
      </c>
      <c r="B15" s="414" t="s">
        <v>640</v>
      </c>
      <c r="C15" s="415"/>
      <c r="D15" s="416"/>
      <c r="E15" s="314">
        <v>317500500</v>
      </c>
      <c r="F15" s="314">
        <v>93469000</v>
      </c>
      <c r="G15" s="314">
        <v>97531500</v>
      </c>
      <c r="H15" s="314">
        <v>126500000</v>
      </c>
    </row>
    <row r="16" spans="1:8" s="57" customFormat="1" ht="27" customHeight="1" collapsed="1">
      <c r="A16" s="57">
        <v>15</v>
      </c>
      <c r="B16" s="414" t="s">
        <v>205</v>
      </c>
      <c r="C16" s="415"/>
      <c r="D16" s="416"/>
      <c r="E16" s="314">
        <v>183513000</v>
      </c>
      <c r="F16" s="314">
        <v>27960000</v>
      </c>
      <c r="G16" s="314">
        <v>27253000</v>
      </c>
      <c r="H16" s="314">
        <v>128300000</v>
      </c>
    </row>
    <row r="17" spans="1:8" s="57" customFormat="1" ht="27" customHeight="1" collapsed="1">
      <c r="A17" s="57">
        <v>16</v>
      </c>
      <c r="B17" s="414" t="s">
        <v>250</v>
      </c>
      <c r="C17" s="415"/>
      <c r="D17" s="416"/>
      <c r="E17" s="314">
        <v>68215000</v>
      </c>
      <c r="F17" s="314">
        <v>8715000</v>
      </c>
      <c r="G17" s="314">
        <v>25000000</v>
      </c>
      <c r="H17" s="314">
        <v>34500000</v>
      </c>
    </row>
    <row r="18" spans="1:8" s="57" customFormat="1" ht="27" customHeight="1" collapsed="1">
      <c r="A18" s="57">
        <v>17</v>
      </c>
      <c r="B18" s="414" t="s">
        <v>1084</v>
      </c>
      <c r="C18" s="415"/>
      <c r="D18" s="416"/>
      <c r="E18" s="314">
        <v>10530000</v>
      </c>
      <c r="F18" s="314">
        <v>10530000</v>
      </c>
      <c r="G18" s="314">
        <v>0</v>
      </c>
      <c r="H18" s="314">
        <v>0</v>
      </c>
    </row>
    <row r="19" spans="1:8" s="57" customFormat="1" ht="27" customHeight="1" collapsed="1">
      <c r="A19" s="57">
        <v>18</v>
      </c>
      <c r="B19" s="414" t="s">
        <v>208</v>
      </c>
      <c r="C19" s="415"/>
      <c r="D19" s="416"/>
      <c r="E19" s="314">
        <v>95915000</v>
      </c>
      <c r="F19" s="314">
        <v>61815000</v>
      </c>
      <c r="G19" s="314">
        <v>34100000</v>
      </c>
      <c r="H19" s="314">
        <v>0</v>
      </c>
    </row>
    <row r="20" spans="1:8" s="57" customFormat="1" ht="27" customHeight="1" collapsed="1">
      <c r="A20" s="57">
        <v>19</v>
      </c>
      <c r="B20" s="414" t="s">
        <v>207</v>
      </c>
      <c r="C20" s="415"/>
      <c r="D20" s="416"/>
      <c r="E20" s="314">
        <v>465290000</v>
      </c>
      <c r="F20" s="314">
        <v>83550000</v>
      </c>
      <c r="G20" s="314">
        <v>186240000</v>
      </c>
      <c r="H20" s="314">
        <v>195500000</v>
      </c>
    </row>
    <row r="21" spans="1:8" s="57" customFormat="1" ht="27" customHeight="1" collapsed="1">
      <c r="A21" s="57">
        <v>20</v>
      </c>
      <c r="B21" s="414" t="s">
        <v>211</v>
      </c>
      <c r="C21" s="415"/>
      <c r="D21" s="416"/>
      <c r="E21" s="314">
        <v>568989000</v>
      </c>
      <c r="F21" s="314">
        <v>115005000</v>
      </c>
      <c r="G21" s="314">
        <v>281484000</v>
      </c>
      <c r="H21" s="314">
        <v>172500000</v>
      </c>
    </row>
    <row r="22" spans="1:8" s="57" customFormat="1" ht="27" customHeight="1" collapsed="1">
      <c r="A22" s="57">
        <v>21</v>
      </c>
      <c r="B22" s="414" t="s">
        <v>488</v>
      </c>
      <c r="C22" s="415"/>
      <c r="D22" s="416"/>
      <c r="E22" s="314">
        <v>452601500</v>
      </c>
      <c r="F22" s="314">
        <v>114961000</v>
      </c>
      <c r="G22" s="314">
        <v>165140500</v>
      </c>
      <c r="H22" s="314">
        <v>172500000</v>
      </c>
    </row>
    <row r="23" spans="1:8" s="57" customFormat="1" ht="27" customHeight="1">
      <c r="A23" s="57">
        <v>22</v>
      </c>
      <c r="B23" s="414" t="s">
        <v>672</v>
      </c>
      <c r="C23" s="415"/>
      <c r="D23" s="416"/>
      <c r="E23" s="314">
        <v>523109000</v>
      </c>
      <c r="F23" s="314">
        <v>106230000</v>
      </c>
      <c r="G23" s="314">
        <v>111279000</v>
      </c>
      <c r="H23" s="314">
        <v>305600000</v>
      </c>
    </row>
    <row r="24" spans="1:8" s="57" customFormat="1" ht="27" customHeight="1">
      <c r="A24" s="57">
        <v>23</v>
      </c>
      <c r="B24" s="414" t="s">
        <v>423</v>
      </c>
      <c r="C24" s="415"/>
      <c r="D24" s="416"/>
      <c r="E24" s="314">
        <v>246810000</v>
      </c>
      <c r="F24" s="314">
        <v>141510000</v>
      </c>
      <c r="G24" s="314">
        <v>0</v>
      </c>
      <c r="H24" s="314">
        <v>105300000</v>
      </c>
    </row>
    <row r="25" spans="1:8" s="57" customFormat="1" ht="27" customHeight="1">
      <c r="A25" s="57">
        <v>24</v>
      </c>
      <c r="B25" s="414" t="s">
        <v>656</v>
      </c>
      <c r="C25" s="415"/>
      <c r="D25" s="416"/>
      <c r="E25" s="314">
        <v>94885000</v>
      </c>
      <c r="F25" s="314">
        <v>44385000</v>
      </c>
      <c r="G25" s="314">
        <v>16000000</v>
      </c>
      <c r="H25" s="314">
        <v>34500000</v>
      </c>
    </row>
    <row r="26" spans="1:8" s="57" customFormat="1" ht="27" customHeight="1" collapsed="1">
      <c r="A26" s="57">
        <v>25</v>
      </c>
      <c r="B26" s="414" t="s">
        <v>679</v>
      </c>
      <c r="C26" s="415"/>
      <c r="D26" s="416"/>
      <c r="E26" s="314">
        <v>398520000</v>
      </c>
      <c r="F26" s="314">
        <v>79695000</v>
      </c>
      <c r="G26" s="314">
        <v>111825000</v>
      </c>
      <c r="H26" s="314">
        <v>207000000</v>
      </c>
    </row>
    <row r="27" spans="1:8" s="57" customFormat="1" ht="27" customHeight="1" collapsed="1">
      <c r="A27" s="57">
        <v>26</v>
      </c>
      <c r="B27" s="414" t="s">
        <v>218</v>
      </c>
      <c r="C27" s="415"/>
      <c r="D27" s="416"/>
      <c r="E27" s="314">
        <v>146320000</v>
      </c>
      <c r="F27" s="314">
        <v>56820000</v>
      </c>
      <c r="G27" s="314">
        <v>55000000</v>
      </c>
      <c r="H27" s="314">
        <v>34500000</v>
      </c>
    </row>
    <row r="28" spans="1:8" s="57" customFormat="1" ht="27" customHeight="1" collapsed="1">
      <c r="A28" s="57">
        <v>27</v>
      </c>
      <c r="B28" s="414" t="s">
        <v>546</v>
      </c>
      <c r="C28" s="415"/>
      <c r="D28" s="416"/>
      <c r="E28" s="314">
        <v>145010000</v>
      </c>
      <c r="F28" s="314">
        <v>92040000</v>
      </c>
      <c r="G28" s="314">
        <v>52970000</v>
      </c>
      <c r="H28" s="314">
        <v>0</v>
      </c>
    </row>
    <row r="29" spans="1:8" s="57" customFormat="1" ht="27" customHeight="1" collapsed="1">
      <c r="A29" s="57">
        <v>28</v>
      </c>
      <c r="B29" s="414" t="s">
        <v>507</v>
      </c>
      <c r="C29" s="415"/>
      <c r="D29" s="416"/>
      <c r="E29" s="314">
        <v>52875000</v>
      </c>
      <c r="F29" s="314">
        <v>8625000</v>
      </c>
      <c r="G29" s="314">
        <v>44250000</v>
      </c>
      <c r="H29" s="314">
        <v>0</v>
      </c>
    </row>
    <row r="30" spans="1:8" s="57" customFormat="1" ht="27" customHeight="1" collapsed="1">
      <c r="A30" s="57">
        <v>29</v>
      </c>
      <c r="B30" s="414" t="s">
        <v>785</v>
      </c>
      <c r="C30" s="415"/>
      <c r="D30" s="416"/>
      <c r="E30" s="314">
        <v>103500000</v>
      </c>
      <c r="F30" s="314">
        <v>0</v>
      </c>
      <c r="G30" s="314">
        <v>0</v>
      </c>
      <c r="H30" s="314">
        <v>103500000</v>
      </c>
    </row>
    <row r="31" spans="1:8" s="57" customFormat="1" ht="27" customHeight="1">
      <c r="A31" s="57">
        <v>30</v>
      </c>
      <c r="B31" s="414" t="s">
        <v>41</v>
      </c>
      <c r="C31" s="415"/>
      <c r="D31" s="416"/>
      <c r="E31" s="314">
        <v>242275000</v>
      </c>
      <c r="F31" s="314">
        <v>72975000</v>
      </c>
      <c r="G31" s="314">
        <v>65800000</v>
      </c>
      <c r="H31" s="314">
        <v>103500000</v>
      </c>
    </row>
    <row r="32" spans="1:8" s="57" customFormat="1" ht="27" customHeight="1" collapsed="1">
      <c r="A32" s="57">
        <v>31</v>
      </c>
      <c r="B32" s="414" t="s">
        <v>38</v>
      </c>
      <c r="C32" s="415"/>
      <c r="D32" s="416"/>
      <c r="E32" s="314">
        <v>57350000</v>
      </c>
      <c r="F32" s="314">
        <v>34860000</v>
      </c>
      <c r="G32" s="314">
        <v>22490000</v>
      </c>
      <c r="H32" s="314">
        <v>0</v>
      </c>
    </row>
    <row r="33" spans="1:8" s="57" customFormat="1" ht="27" customHeight="1" collapsed="1">
      <c r="A33" s="57">
        <v>32</v>
      </c>
      <c r="B33" s="414" t="s">
        <v>257</v>
      </c>
      <c r="C33" s="415"/>
      <c r="D33" s="416"/>
      <c r="E33" s="314">
        <v>28750000</v>
      </c>
      <c r="F33" s="314">
        <v>0</v>
      </c>
      <c r="G33" s="314">
        <v>28750000</v>
      </c>
      <c r="H33" s="314">
        <v>0</v>
      </c>
    </row>
    <row r="34" spans="1:8" s="57" customFormat="1" ht="27" customHeight="1">
      <c r="A34" s="57">
        <v>33</v>
      </c>
      <c r="B34" s="414" t="s">
        <v>1033</v>
      </c>
      <c r="C34" s="415"/>
      <c r="D34" s="416"/>
      <c r="E34" s="314">
        <v>138000000</v>
      </c>
      <c r="F34" s="314">
        <v>0</v>
      </c>
      <c r="G34" s="314">
        <v>0</v>
      </c>
      <c r="H34" s="314">
        <v>138000000</v>
      </c>
    </row>
    <row r="35" spans="1:8" s="57" customFormat="1" ht="27" customHeight="1" collapsed="1">
      <c r="A35" s="57">
        <v>34</v>
      </c>
      <c r="B35" s="414" t="s">
        <v>710</v>
      </c>
      <c r="C35" s="415"/>
      <c r="D35" s="416"/>
      <c r="E35" s="314">
        <v>70470000</v>
      </c>
      <c r="F35" s="314">
        <v>21420000</v>
      </c>
      <c r="G35" s="314">
        <v>14550000</v>
      </c>
      <c r="H35" s="314">
        <v>34500000</v>
      </c>
    </row>
    <row r="36" spans="1:8" s="57" customFormat="1" ht="27" customHeight="1" collapsed="1">
      <c r="A36" s="57">
        <v>35</v>
      </c>
      <c r="B36" s="414" t="s">
        <v>300</v>
      </c>
      <c r="C36" s="415"/>
      <c r="D36" s="416"/>
      <c r="E36" s="314">
        <v>34500000</v>
      </c>
      <c r="F36" s="314">
        <v>0</v>
      </c>
      <c r="G36" s="314">
        <v>0</v>
      </c>
      <c r="H36" s="314">
        <v>34500000</v>
      </c>
    </row>
    <row r="37" spans="1:8" s="57" customFormat="1" ht="27" customHeight="1">
      <c r="A37" s="57">
        <v>36</v>
      </c>
      <c r="B37" s="414" t="s">
        <v>1064</v>
      </c>
      <c r="C37" s="415"/>
      <c r="D37" s="416"/>
      <c r="E37" s="314">
        <v>34500000</v>
      </c>
      <c r="F37" s="314">
        <v>0</v>
      </c>
      <c r="G37" s="314">
        <v>0</v>
      </c>
      <c r="H37" s="314">
        <v>34500000</v>
      </c>
    </row>
    <row r="38" spans="1:8" s="57" customFormat="1" ht="27" customHeight="1">
      <c r="A38" s="57">
        <v>37</v>
      </c>
      <c r="B38" s="414" t="s">
        <v>326</v>
      </c>
      <c r="C38" s="415"/>
      <c r="D38" s="416"/>
      <c r="E38" s="314">
        <v>660255000</v>
      </c>
      <c r="F38" s="314">
        <v>144135000</v>
      </c>
      <c r="G38" s="314">
        <v>341820000</v>
      </c>
      <c r="H38" s="314">
        <v>174300000</v>
      </c>
    </row>
    <row r="39" spans="1:8" s="57" customFormat="1" ht="27" customHeight="1">
      <c r="A39" s="57">
        <v>38</v>
      </c>
      <c r="B39" s="414" t="s">
        <v>1160</v>
      </c>
      <c r="C39" s="415"/>
      <c r="D39" s="416"/>
      <c r="E39" s="314">
        <v>117750000</v>
      </c>
      <c r="F39" s="314">
        <v>0</v>
      </c>
      <c r="G39" s="314">
        <v>25750000</v>
      </c>
      <c r="H39" s="314">
        <v>92000000</v>
      </c>
    </row>
    <row r="40" spans="1:8" s="57" customFormat="1" ht="27" customHeight="1">
      <c r="A40" s="57">
        <v>39</v>
      </c>
      <c r="B40" s="414" t="s">
        <v>713</v>
      </c>
      <c r="C40" s="415"/>
      <c r="D40" s="416"/>
      <c r="E40" s="314">
        <v>262350000</v>
      </c>
      <c r="F40" s="314">
        <v>13130000</v>
      </c>
      <c r="G40" s="314">
        <v>40420000</v>
      </c>
      <c r="H40" s="314">
        <v>208800000</v>
      </c>
    </row>
    <row r="41" spans="1:8" s="57" customFormat="1" ht="27" customHeight="1">
      <c r="A41" s="57">
        <v>40</v>
      </c>
      <c r="B41" s="414" t="s">
        <v>714</v>
      </c>
      <c r="C41" s="415"/>
      <c r="D41" s="416"/>
      <c r="E41" s="314">
        <v>105304000</v>
      </c>
      <c r="F41" s="314">
        <v>0</v>
      </c>
      <c r="G41" s="314">
        <v>34504000</v>
      </c>
      <c r="H41" s="314">
        <v>70800000</v>
      </c>
    </row>
    <row r="42" spans="1:8" s="57" customFormat="1" ht="27" customHeight="1">
      <c r="A42" s="57">
        <v>41</v>
      </c>
      <c r="B42" s="414" t="s">
        <v>726</v>
      </c>
      <c r="C42" s="415"/>
      <c r="D42" s="416"/>
      <c r="E42" s="314">
        <v>93919000</v>
      </c>
      <c r="F42" s="314">
        <v>34500000</v>
      </c>
      <c r="G42" s="314">
        <v>24919000</v>
      </c>
      <c r="H42" s="314">
        <v>34500000</v>
      </c>
    </row>
    <row r="43" spans="1:8" s="57" customFormat="1" ht="27" customHeight="1">
      <c r="A43" s="57">
        <v>42</v>
      </c>
      <c r="B43" s="414" t="s">
        <v>671</v>
      </c>
      <c r="C43" s="415"/>
      <c r="D43" s="416"/>
      <c r="E43" s="314">
        <v>298100000</v>
      </c>
      <c r="F43" s="314">
        <v>108740000</v>
      </c>
      <c r="G43" s="314">
        <v>84060000</v>
      </c>
      <c r="H43" s="314">
        <v>105300000</v>
      </c>
    </row>
    <row r="44" spans="1:8" s="57" customFormat="1" ht="27" customHeight="1" collapsed="1">
      <c r="A44" s="57">
        <v>43</v>
      </c>
      <c r="B44" s="414" t="s">
        <v>678</v>
      </c>
      <c r="C44" s="415"/>
      <c r="D44" s="416"/>
      <c r="E44" s="314">
        <v>144915000</v>
      </c>
      <c r="F44" s="314">
        <v>42840000</v>
      </c>
      <c r="G44" s="314">
        <v>33075000</v>
      </c>
      <c r="H44" s="314">
        <v>69000000</v>
      </c>
    </row>
    <row r="45" spans="1:8" s="57" customFormat="1" ht="27" customHeight="1" collapsed="1">
      <c r="A45" s="57">
        <v>44</v>
      </c>
      <c r="B45" s="414" t="s">
        <v>385</v>
      </c>
      <c r="C45" s="415"/>
      <c r="D45" s="416"/>
      <c r="E45" s="314">
        <v>34500000</v>
      </c>
      <c r="F45" s="314">
        <v>0</v>
      </c>
      <c r="G45" s="314">
        <v>0</v>
      </c>
      <c r="H45" s="314">
        <v>34500000</v>
      </c>
    </row>
    <row r="46" spans="1:8" s="57" customFormat="1" ht="27" customHeight="1">
      <c r="A46" s="57">
        <v>45</v>
      </c>
      <c r="B46" s="414" t="s">
        <v>697</v>
      </c>
      <c r="C46" s="415"/>
      <c r="D46" s="416"/>
      <c r="E46" s="314">
        <v>96500000</v>
      </c>
      <c r="F46" s="314">
        <v>0</v>
      </c>
      <c r="G46" s="314">
        <v>27500000</v>
      </c>
      <c r="H46" s="314">
        <v>69000000</v>
      </c>
    </row>
    <row r="47" spans="1:8" s="57" customFormat="1" ht="27" customHeight="1">
      <c r="A47" s="57">
        <v>46</v>
      </c>
      <c r="B47" s="414" t="s">
        <v>706</v>
      </c>
      <c r="C47" s="415"/>
      <c r="D47" s="416"/>
      <c r="E47" s="314">
        <v>839293000</v>
      </c>
      <c r="F47" s="314">
        <v>285015000</v>
      </c>
      <c r="G47" s="314">
        <v>276478000</v>
      </c>
      <c r="H47" s="314">
        <v>277800000</v>
      </c>
    </row>
    <row r="48" spans="1:8" s="57" customFormat="1" ht="27" customHeight="1">
      <c r="A48" s="57">
        <v>47</v>
      </c>
      <c r="B48" s="414" t="s">
        <v>708</v>
      </c>
      <c r="C48" s="415"/>
      <c r="D48" s="416"/>
      <c r="E48" s="314">
        <v>953954000</v>
      </c>
      <c r="F48" s="314">
        <v>158130000</v>
      </c>
      <c r="G48" s="314">
        <v>233024000</v>
      </c>
      <c r="H48" s="314">
        <v>562800000</v>
      </c>
    </row>
    <row r="49" spans="1:8" s="57" customFormat="1" ht="27" customHeight="1" collapsed="1">
      <c r="A49" s="57">
        <v>48</v>
      </c>
      <c r="B49" s="414" t="s">
        <v>357</v>
      </c>
      <c r="C49" s="415"/>
      <c r="D49" s="416"/>
      <c r="E49" s="314">
        <v>224575000</v>
      </c>
      <c r="F49" s="314">
        <v>6900000</v>
      </c>
      <c r="G49" s="314">
        <v>79675000</v>
      </c>
      <c r="H49" s="314">
        <v>138000000</v>
      </c>
    </row>
    <row r="50" spans="1:8" s="57" customFormat="1" ht="27" customHeight="1">
      <c r="A50" s="57">
        <v>49</v>
      </c>
      <c r="B50" s="414" t="s">
        <v>249</v>
      </c>
      <c r="C50" s="415"/>
      <c r="D50" s="416"/>
      <c r="E50" s="314">
        <v>43215000</v>
      </c>
      <c r="F50" s="314">
        <v>8715000</v>
      </c>
      <c r="G50" s="314">
        <v>0</v>
      </c>
      <c r="H50" s="314">
        <v>34500000</v>
      </c>
    </row>
    <row r="51" spans="1:8" s="57" customFormat="1" ht="27" customHeight="1" collapsed="1">
      <c r="A51" s="57">
        <v>50</v>
      </c>
      <c r="B51" s="414" t="s">
        <v>307</v>
      </c>
      <c r="C51" s="415"/>
      <c r="D51" s="416"/>
      <c r="E51" s="314">
        <v>122713000</v>
      </c>
      <c r="F51" s="314">
        <v>0</v>
      </c>
      <c r="G51" s="314">
        <v>53713000</v>
      </c>
      <c r="H51" s="314">
        <v>69000000</v>
      </c>
    </row>
    <row r="52" spans="1:8" s="57" customFormat="1" ht="27" customHeight="1">
      <c r="A52" s="57">
        <v>51</v>
      </c>
      <c r="B52" s="414" t="s">
        <v>535</v>
      </c>
      <c r="C52" s="415"/>
      <c r="D52" s="416"/>
      <c r="E52" s="314">
        <v>64895000</v>
      </c>
      <c r="F52" s="314">
        <v>10530000</v>
      </c>
      <c r="G52" s="314">
        <v>18065000</v>
      </c>
      <c r="H52" s="314">
        <v>36300000</v>
      </c>
    </row>
    <row r="53" spans="1:8" s="33" customFormat="1" ht="27" customHeight="1" collapsed="1">
      <c r="A53" s="57">
        <v>52</v>
      </c>
      <c r="B53" s="414" t="s">
        <v>1409</v>
      </c>
      <c r="C53" s="415"/>
      <c r="D53" s="416"/>
      <c r="E53" s="314">
        <v>1318523000</v>
      </c>
      <c r="F53" s="314">
        <v>448485000</v>
      </c>
      <c r="G53" s="314">
        <v>508738000</v>
      </c>
      <c r="H53" s="314">
        <v>361300000</v>
      </c>
    </row>
    <row r="54" spans="1:8" s="57" customFormat="1" ht="12" collapsed="1">
      <c r="A54" s="57">
        <v>53</v>
      </c>
      <c r="B54" s="414" t="s">
        <v>1585</v>
      </c>
      <c r="C54" s="415"/>
      <c r="D54" s="416"/>
      <c r="E54" s="314">
        <v>134875000</v>
      </c>
      <c r="F54" s="314">
        <v>0</v>
      </c>
      <c r="G54" s="314">
        <v>65875000</v>
      </c>
      <c r="H54" s="314">
        <v>69000000</v>
      </c>
    </row>
    <row r="55" spans="5:8" ht="27" customHeight="1">
      <c r="E55" s="315">
        <f>SUM(E2:E54)</f>
        <v>17442117000</v>
      </c>
      <c r="F55" s="315">
        <f>SUM(F2:F54)</f>
        <v>5724285000</v>
      </c>
      <c r="G55" s="315">
        <f>SUM(G2:G54)</f>
        <v>5190032000</v>
      </c>
      <c r="H55" s="315">
        <f>SUM(H2:H54)</f>
        <v>6527800000</v>
      </c>
    </row>
    <row r="56" ht="27" customHeight="1">
      <c r="E56" s="321"/>
    </row>
  </sheetData>
  <sheetProtection/>
  <mergeCells count="54">
    <mergeCell ref="B5:D5"/>
    <mergeCell ref="B6:D6"/>
    <mergeCell ref="B7:D7"/>
    <mergeCell ref="B3:D3"/>
    <mergeCell ref="B4:D4"/>
    <mergeCell ref="B8:D8"/>
    <mergeCell ref="B19:D19"/>
    <mergeCell ref="B20:D20"/>
    <mergeCell ref="B9:D9"/>
    <mergeCell ref="B10:D10"/>
    <mergeCell ref="B11:D11"/>
    <mergeCell ref="B12:D12"/>
    <mergeCell ref="B13:D13"/>
    <mergeCell ref="B14:D14"/>
    <mergeCell ref="B21:D21"/>
    <mergeCell ref="B22:D22"/>
    <mergeCell ref="B23:D23"/>
    <mergeCell ref="B24:D24"/>
    <mergeCell ref="B25:D25"/>
    <mergeCell ref="B2:D2"/>
    <mergeCell ref="B15:D15"/>
    <mergeCell ref="B16:D16"/>
    <mergeCell ref="B17:D17"/>
    <mergeCell ref="B18:D1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9:D49"/>
    <mergeCell ref="B50:D50"/>
    <mergeCell ref="B39:D39"/>
    <mergeCell ref="B40:D40"/>
    <mergeCell ref="B41:D41"/>
    <mergeCell ref="B42:D42"/>
    <mergeCell ref="B43:D43"/>
    <mergeCell ref="B44:D44"/>
    <mergeCell ref="B1:H1"/>
    <mergeCell ref="B26:D26"/>
    <mergeCell ref="B51:D51"/>
    <mergeCell ref="B52:D52"/>
    <mergeCell ref="B53:D53"/>
    <mergeCell ref="B54:D54"/>
    <mergeCell ref="B45:D45"/>
    <mergeCell ref="B46:D46"/>
    <mergeCell ref="B47:D47"/>
    <mergeCell ref="B48:D48"/>
  </mergeCells>
  <printOptions/>
  <pageMargins left="0.2" right="0.2" top="0.25" bottom="0.25" header="0.05" footer="0.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pc2</cp:lastModifiedBy>
  <cp:lastPrinted>2017-01-24T04:30:13Z</cp:lastPrinted>
  <dcterms:created xsi:type="dcterms:W3CDTF">2012-10-01T03:13:00Z</dcterms:created>
  <dcterms:modified xsi:type="dcterms:W3CDTF">2017-01-24T04:44:00Z</dcterms:modified>
  <cp:category/>
  <cp:version/>
  <cp:contentType/>
  <cp:contentStatus/>
</cp:coreProperties>
</file>